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Y:\Manas Upmanyu\SPRNG\"/>
    </mc:Choice>
  </mc:AlternateContent>
  <xr:revisionPtr revIDLastSave="0" documentId="13_ncr:1_{604D46B0-1376-4E0B-83CB-E52851A20755}" xr6:coauthVersionLast="47" xr6:coauthVersionMax="47" xr10:uidLastSave="{00000000-0000-0000-0000-000000000000}"/>
  <bookViews>
    <workbookView xWindow="-120" yWindow="-120" windowWidth="21840" windowHeight="13140" activeTab="5" xr2:uid="{00000000-000D-0000-FFFF-FFFF00000000}"/>
  </bookViews>
  <sheets>
    <sheet name="Building_Working" sheetId="1" r:id="rId1"/>
    <sheet name="Boundary_Fencing" sheetId="2" r:id="rId2"/>
    <sheet name="Rainwater_drains" sheetId="3" r:id="rId3"/>
    <sheet name="Road" sheetId="4" r:id="rId4"/>
    <sheet name="Summary" sheetId="5" r:id="rId5"/>
    <sheet name="Diff" sheetId="6"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9" i="6" l="1"/>
  <c r="G10" i="6" s="1"/>
  <c r="G8" i="6"/>
  <c r="G7" i="6"/>
  <c r="G6" i="6"/>
  <c r="G15" i="5"/>
  <c r="N9" i="5"/>
  <c r="N12" i="5" s="1"/>
  <c r="N10" i="5"/>
  <c r="J7" i="5"/>
  <c r="J6" i="5"/>
  <c r="I6" i="5"/>
  <c r="H6" i="5"/>
  <c r="G6" i="5"/>
  <c r="F6" i="5"/>
  <c r="I6" i="4"/>
  <c r="I7" i="4" s="1"/>
  <c r="K6" i="3"/>
  <c r="K7" i="3" s="1"/>
  <c r="J7" i="2"/>
  <c r="J6" i="2"/>
  <c r="G9" i="6" l="1"/>
  <c r="O11" i="1"/>
  <c r="O12" i="1"/>
  <c r="Q6" i="1"/>
  <c r="R6" i="1" s="1"/>
  <c r="Q7" i="1"/>
  <c r="R7" i="1" s="1"/>
  <c r="Q8" i="1"/>
  <c r="R8" i="1" s="1"/>
  <c r="Q9" i="1"/>
  <c r="R9" i="1" s="1"/>
  <c r="Q10" i="1"/>
  <c r="R10" i="1" s="1"/>
  <c r="Q11" i="1"/>
  <c r="Q12" i="1"/>
  <c r="Q13" i="1"/>
  <c r="Q5" i="1"/>
  <c r="H14" i="1"/>
  <c r="G13" i="1"/>
  <c r="H13" i="1" s="1"/>
  <c r="G12" i="1"/>
  <c r="H12" i="1" s="1"/>
  <c r="G11" i="1"/>
  <c r="H11" i="1" s="1"/>
  <c r="G10" i="1"/>
  <c r="H10" i="1" s="1"/>
  <c r="G9" i="1"/>
  <c r="H9" i="1" s="1"/>
  <c r="G7" i="1"/>
  <c r="H7" i="1" s="1"/>
  <c r="G6" i="1"/>
  <c r="H6" i="1" s="1"/>
  <c r="H8" i="1"/>
  <c r="G5" i="1"/>
  <c r="H5" i="1" s="1"/>
  <c r="L11" i="1"/>
  <c r="L12" i="1"/>
  <c r="O10" i="1"/>
  <c r="L10" i="1"/>
  <c r="D22" i="1"/>
  <c r="D32" i="1"/>
  <c r="D24" i="1"/>
  <c r="P28" i="1"/>
  <c r="P27" i="1"/>
  <c r="H22" i="1"/>
  <c r="R12" i="1" l="1"/>
  <c r="S12" i="1" s="1"/>
  <c r="U12" i="1" s="1"/>
  <c r="Q14" i="1"/>
  <c r="R11" i="1"/>
  <c r="S11" i="1" s="1"/>
  <c r="U11" i="1" s="1"/>
  <c r="S10" i="1"/>
  <c r="U10" i="1" s="1"/>
  <c r="D28" i="1" l="1"/>
  <c r="D27" i="1"/>
  <c r="G14" i="1" l="1"/>
  <c r="O13" i="1"/>
  <c r="L13" i="1"/>
  <c r="O9" i="1"/>
  <c r="L9" i="1"/>
  <c r="O8" i="1"/>
  <c r="L8" i="1"/>
  <c r="O7" i="1"/>
  <c r="L7" i="1"/>
  <c r="O6" i="1"/>
  <c r="L6" i="1"/>
  <c r="O5" i="1"/>
  <c r="L5" i="1"/>
  <c r="M28" i="1" l="1"/>
  <c r="H23" i="1"/>
  <c r="H25" i="1" s="1"/>
  <c r="S7" i="1"/>
  <c r="U7" i="1" s="1"/>
  <c r="L23" i="1"/>
  <c r="L25" i="1" s="1"/>
  <c r="L27" i="1" s="1"/>
  <c r="S8" i="1"/>
  <c r="U8" i="1" s="1"/>
  <c r="S9" i="1"/>
  <c r="U9" i="1" s="1"/>
  <c r="S6" i="1"/>
  <c r="U6" i="1" s="1"/>
  <c r="R13" i="1"/>
  <c r="S13" i="1" s="1"/>
  <c r="U13" i="1" s="1"/>
  <c r="Y22" i="1" l="1"/>
  <c r="D21" i="1"/>
  <c r="R5" i="1"/>
  <c r="R14" i="1" s="1"/>
  <c r="S5" i="1" l="1"/>
  <c r="S14" i="1" s="1"/>
  <c r="U5" i="1" l="1"/>
  <c r="U14" i="1" s="1"/>
  <c r="D23" i="1" s="1"/>
  <c r="D25" i="1" s="1"/>
</calcChain>
</file>

<file path=xl/sharedStrings.xml><?xml version="1.0" encoding="utf-8"?>
<sst xmlns="http://schemas.openxmlformats.org/spreadsheetml/2006/main" count="132" uniqueCount="87">
  <si>
    <t>SR. No.</t>
  </si>
  <si>
    <t>Type of Structure</t>
  </si>
  <si>
    <r>
      <t xml:space="preserve">Area 
</t>
    </r>
    <r>
      <rPr>
        <b/>
        <i/>
        <sz val="10"/>
        <rFont val="Calibri"/>
        <family val="2"/>
        <scheme val="minor"/>
      </rPr>
      <t>(in sq.ft)</t>
    </r>
  </si>
  <si>
    <r>
      <t xml:space="preserve">Height </t>
    </r>
    <r>
      <rPr>
        <b/>
        <i/>
        <sz val="10"/>
        <rFont val="Calibri"/>
        <family val="2"/>
        <scheme val="minor"/>
      </rPr>
      <t>(in ft.)</t>
    </r>
  </si>
  <si>
    <t>Year of Construction</t>
  </si>
  <si>
    <t xml:space="preserve">Year of Valuation </t>
  </si>
  <si>
    <r>
      <t xml:space="preserve">Total Life Consumed 
</t>
    </r>
    <r>
      <rPr>
        <b/>
        <i/>
        <sz val="10"/>
        <rFont val="Calibri"/>
        <family val="2"/>
        <scheme val="minor"/>
      </rPr>
      <t>(in years)</t>
    </r>
  </si>
  <si>
    <r>
      <t xml:space="preserve">Total Economical Life
</t>
    </r>
    <r>
      <rPr>
        <b/>
        <i/>
        <sz val="10"/>
        <rFont val="Calibri"/>
        <family val="2"/>
        <scheme val="minor"/>
      </rPr>
      <t>(in years)</t>
    </r>
  </si>
  <si>
    <t>Salvage value</t>
  </si>
  <si>
    <t>Depreciation Rate</t>
  </si>
  <si>
    <r>
      <t xml:space="preserve">Plinth Area  Rate 
</t>
    </r>
    <r>
      <rPr>
        <b/>
        <i/>
        <sz val="10"/>
        <rFont val="Calibri"/>
        <family val="2"/>
        <scheme val="minor"/>
      </rPr>
      <t>(in per sq.ft)</t>
    </r>
  </si>
  <si>
    <t>Discounting Factor</t>
  </si>
  <si>
    <t>TOTAL</t>
  </si>
  <si>
    <t>Remarks:</t>
  </si>
  <si>
    <t>LAND</t>
  </si>
  <si>
    <t>BUILDING</t>
  </si>
  <si>
    <t>TOTAL FMV</t>
  </si>
  <si>
    <t>ROUND OFF</t>
  </si>
  <si>
    <t>RV</t>
  </si>
  <si>
    <t>DV</t>
  </si>
  <si>
    <t>vol</t>
  </si>
  <si>
    <t>price</t>
  </si>
  <si>
    <t>land</t>
  </si>
  <si>
    <t>building</t>
  </si>
  <si>
    <r>
      <t>4.</t>
    </r>
    <r>
      <rPr>
        <i/>
        <sz val="10"/>
        <color theme="1"/>
        <rFont val="Calibri"/>
        <family val="2"/>
        <scheme val="minor"/>
      </rPr>
      <t xml:space="preserve"> The valuation is done by considering the depreciated replacement cost approach.</t>
    </r>
  </si>
  <si>
    <t>3. No information about the construction year of the building have been provided to us, so we have taken the year of construction from old valuation report provided to us by the bank.</t>
  </si>
  <si>
    <t>Boundary Wall</t>
  </si>
  <si>
    <t>INSURANCE</t>
  </si>
  <si>
    <t>Location</t>
  </si>
  <si>
    <t>Baleedupalle</t>
  </si>
  <si>
    <t>Particulars</t>
  </si>
  <si>
    <t xml:space="preserve">Inverter Room </t>
  </si>
  <si>
    <t>Main Control 
Room</t>
  </si>
  <si>
    <t>HT Panel Shed</t>
  </si>
  <si>
    <t>Muthralampalle</t>
  </si>
  <si>
    <t>Addakal</t>
  </si>
  <si>
    <t xml:space="preserve">RCC Framed Structure </t>
  </si>
  <si>
    <t>PEB structure, Puff panel sheet with GI shed</t>
  </si>
  <si>
    <t>MS Column structure with GI shed</t>
  </si>
  <si>
    <t>No. of Units</t>
  </si>
  <si>
    <r>
      <t xml:space="preserve">2. </t>
    </r>
    <r>
      <rPr>
        <i/>
        <sz val="10"/>
        <color theme="1"/>
        <rFont val="Calibri"/>
        <family val="2"/>
        <scheme val="minor"/>
      </rPr>
      <t>All the structure that has been taken in the area statemnet belonging to M/s. SPRNG Transform Sun Energy Pvt. Ltd..</t>
    </r>
  </si>
  <si>
    <t>S.No.</t>
  </si>
  <si>
    <t>Building/ Block Name</t>
  </si>
  <si>
    <t>Year of construction</t>
  </si>
  <si>
    <t xml:space="preserve">Type of construction
</t>
  </si>
  <si>
    <t>Structure condition</t>
  </si>
  <si>
    <t>Value</t>
  </si>
  <si>
    <t>Fencing</t>
  </si>
  <si>
    <t>Barbed Wire Fencing </t>
  </si>
  <si>
    <t>Average</t>
  </si>
  <si>
    <t>RCC and Brick work</t>
  </si>
  <si>
    <t>Rainwater Drainage work</t>
  </si>
  <si>
    <t>WBM</t>
  </si>
  <si>
    <t>WBM Bituminous Top</t>
  </si>
  <si>
    <t>Sr.No</t>
  </si>
  <si>
    <t>Depreciated Replacement Market Value
(Road)</t>
  </si>
  <si>
    <t>Depreciated Replacement Market Value
(Drainage)</t>
  </si>
  <si>
    <t>Depreciated Replacement Market Value
(Boundary Wall)</t>
  </si>
  <si>
    <t>Total Prospective  Market Value (PFMV) (INR)</t>
  </si>
  <si>
    <t>Total</t>
  </si>
  <si>
    <t>Note:</t>
  </si>
  <si>
    <t>1.All the details related to the Buildings and civil work has been provided by Company and all the details are relied upon for the assessent.</t>
  </si>
  <si>
    <t>2. Building Area Statement has been provided to us by the company management. On the provided details we have inspected through sample measurement which was found to be approximately same.</t>
  </si>
  <si>
    <t>Telangana</t>
  </si>
  <si>
    <t>BUILDING VALUATION OF M/S. SPRNG TRANSFORM SUN ENERGY PVT. LTD.| TELANAGANA</t>
  </si>
  <si>
    <t>SUMMARY- M/S. SPRNG TRANSFORM SUN ENERGY PVT. LTD.| TELANAGANA</t>
  </si>
  <si>
    <r>
      <t xml:space="preserve">1. </t>
    </r>
    <r>
      <rPr>
        <b/>
        <i/>
        <sz val="10"/>
        <color theme="1"/>
        <rFont val="Calibri"/>
        <family val="2"/>
        <scheme val="minor"/>
      </rPr>
      <t>All the details pertaing to the building area statement such as area, floor, etc been taken from document that has been provided by the client.</t>
    </r>
  </si>
  <si>
    <r>
      <t>Area</t>
    </r>
    <r>
      <rPr>
        <b/>
        <sz val="10"/>
        <rFont val="Calibri"/>
        <family val="2"/>
        <scheme val="minor"/>
      </rPr>
      <t xml:space="preserve"> 
</t>
    </r>
    <r>
      <rPr>
        <b/>
        <i/>
        <sz val="10"/>
        <rFont val="Calibri"/>
        <family val="2"/>
        <scheme val="minor"/>
      </rPr>
      <t>(in sq. mtr.)</t>
    </r>
  </si>
  <si>
    <r>
      <t xml:space="preserve">Gross Replacement Value
</t>
    </r>
    <r>
      <rPr>
        <b/>
        <i/>
        <sz val="11"/>
        <rFont val="Calibri"/>
        <family val="2"/>
        <scheme val="minor"/>
      </rPr>
      <t>(INR)</t>
    </r>
  </si>
  <si>
    <r>
      <t xml:space="preserve">Depreciation
</t>
    </r>
    <r>
      <rPr>
        <b/>
        <i/>
        <sz val="11"/>
        <rFont val="Calibri"/>
        <family val="2"/>
        <scheme val="minor"/>
      </rPr>
      <t xml:space="preserve">(INR) </t>
    </r>
  </si>
  <si>
    <r>
      <t xml:space="preserve">Depreciated Value
</t>
    </r>
    <r>
      <rPr>
        <b/>
        <i/>
        <sz val="11"/>
        <rFont val="Calibri"/>
        <family val="2"/>
        <scheme val="minor"/>
      </rPr>
      <t>(INR)</t>
    </r>
  </si>
  <si>
    <r>
      <t xml:space="preserve">Depreciated Replacement Market Value
</t>
    </r>
    <r>
      <rPr>
        <b/>
        <i/>
        <sz val="11"/>
        <rFont val="Calibri"/>
        <family val="2"/>
        <scheme val="minor"/>
      </rPr>
      <t>(INR)</t>
    </r>
  </si>
  <si>
    <t>ROAD VALUATION | M/S. SPRNG TRANSFORM SUN ENERGY PVT. LTD.| TELANAGANA</t>
  </si>
  <si>
    <t>RAINWATER DRAINAGE | M/S. SPRNG TRANSFORM SUN ENERGY PVT. LTD.| TELANAGANA</t>
  </si>
  <si>
    <t>BOUNDARY WALL VALUATION | M/S. SPRNG TRANSFORM SUN ENERGY PVT. LTD.| TELANAGANA</t>
  </si>
  <si>
    <r>
      <t xml:space="preserve">Length
</t>
    </r>
    <r>
      <rPr>
        <b/>
        <i/>
        <sz val="11"/>
        <color theme="1"/>
        <rFont val="Calibri"/>
        <family val="2"/>
        <scheme val="minor"/>
      </rPr>
      <t>(in  rmtr.)</t>
    </r>
  </si>
  <si>
    <r>
      <t xml:space="preserve">Rate per RMTS </t>
    </r>
    <r>
      <rPr>
        <b/>
        <i/>
        <sz val="11"/>
        <color theme="1"/>
        <rFont val="Calibri"/>
        <family val="2"/>
        <scheme val="minor"/>
      </rPr>
      <t>(CPWD)</t>
    </r>
  </si>
  <si>
    <r>
      <t>Total Height</t>
    </r>
    <r>
      <rPr>
        <b/>
        <i/>
        <sz val="11"/>
        <color theme="1"/>
        <rFont val="Calibri"/>
        <family val="2"/>
        <scheme val="minor"/>
      </rPr>
      <t>(ft)</t>
    </r>
  </si>
  <si>
    <r>
      <t xml:space="preserve">Area
</t>
    </r>
    <r>
      <rPr>
        <b/>
        <i/>
        <sz val="11"/>
        <color theme="1"/>
        <rFont val="Calibri"/>
        <family val="2"/>
        <scheme val="minor"/>
      </rPr>
      <t>(Sqmtr)</t>
    </r>
  </si>
  <si>
    <r>
      <t xml:space="preserve">Depreciated Replacement Market Value
</t>
    </r>
    <r>
      <rPr>
        <b/>
        <i/>
        <sz val="11"/>
        <rFont val="Calibri"/>
        <family val="2"/>
        <scheme val="minor"/>
      </rPr>
      <t>(Building)</t>
    </r>
  </si>
  <si>
    <t>Land</t>
  </si>
  <si>
    <t>Building</t>
  </si>
  <si>
    <t>P&amp;M</t>
  </si>
  <si>
    <t>SUMMARY</t>
  </si>
  <si>
    <t>Difference</t>
  </si>
  <si>
    <t>New Value</t>
  </si>
  <si>
    <t>Old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</si>
</sst>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0000"/>
    <numFmt numFmtId="165" formatCode="_ &quot;₹&quot;\ * #,##0_ ;_ &quot;₹&quot;\ * \-#,##0_ ;_ &quot;₹&quot;\ * &quot;-&quot;??_ ;_ @_ "/>
    <numFmt numFmtId="166" formatCode="_ [$₹-4009]\ * #,##0_ ;_ [$₹-4009]\ * \-#,##0_ ;_ [$₹-4009]\ * &quot;-&quot;??_ ;_ @_ "/>
    <numFmt numFmtId="167" formatCode="_ * #,##0_ ;_ * \-#,##0_ ;_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b/>
      <i/>
      <sz val="10"/>
      <name val="Calibri"/>
      <family val="2"/>
      <scheme val="minor"/>
    </font>
    <font>
      <b/>
      <i/>
      <sz val="11"/>
      <color theme="1"/>
      <name val="Calibri"/>
      <family val="2"/>
      <scheme val="minor"/>
    </font>
    <font>
      <i/>
      <sz val="11"/>
      <color theme="1"/>
      <name val="Calibri"/>
      <family val="2"/>
      <scheme val="minor"/>
    </font>
    <font>
      <b/>
      <i/>
      <sz val="10"/>
      <color theme="1"/>
      <name val="Calibri"/>
      <family val="2"/>
      <scheme val="minor"/>
    </font>
    <font>
      <i/>
      <sz val="10"/>
      <color theme="1"/>
      <name val="Calibri"/>
      <family val="2"/>
      <scheme val="minor"/>
    </font>
    <font>
      <b/>
      <sz val="10"/>
      <name val="Calibri"/>
      <family val="2"/>
      <scheme val="minor"/>
    </font>
    <font>
      <b/>
      <sz val="10"/>
      <color theme="1"/>
      <name val="Arial"/>
      <family val="2"/>
    </font>
    <font>
      <b/>
      <sz val="12"/>
      <color theme="1"/>
      <name val="Calibri"/>
      <family val="2"/>
      <scheme val="minor"/>
    </font>
    <font>
      <b/>
      <i/>
      <sz val="11"/>
      <name val="Calibri"/>
      <family val="2"/>
      <scheme val="minor"/>
    </font>
    <font>
      <sz val="10"/>
      <color theme="1"/>
      <name val="Arial"/>
      <family val="2"/>
    </font>
  </fonts>
  <fills count="8">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4" tint="0.59999389629810485"/>
        <bgColor indexed="65"/>
      </patternFill>
    </fill>
    <fill>
      <patternFill patternType="solid">
        <fgColor theme="0"/>
        <bgColor indexed="64"/>
      </patternFill>
    </fill>
    <fill>
      <patternFill patternType="solid">
        <fgColor theme="3" tint="-0.499984740745262"/>
        <bgColor indexed="64"/>
      </patternFill>
    </fill>
    <fill>
      <patternFill patternType="solid">
        <fgColor theme="4" tint="0.59999389629810485"/>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4" borderId="0" applyNumberFormat="0" applyBorder="0" applyAlignment="0" applyProtection="0"/>
  </cellStyleXfs>
  <cellXfs count="66">
    <xf numFmtId="0" fontId="0" fillId="0" borderId="0" xfId="0"/>
    <xf numFmtId="0" fontId="0" fillId="0" borderId="4" xfId="0" applyBorder="1" applyAlignment="1">
      <alignment horizontal="center" vertical="center"/>
    </xf>
    <xf numFmtId="0" fontId="0" fillId="0" borderId="4" xfId="0" applyBorder="1" applyAlignment="1">
      <alignment horizontal="center" vertical="center" wrapText="1"/>
    </xf>
    <xf numFmtId="1" fontId="0" fillId="0" borderId="4" xfId="0" applyNumberFormat="1" applyBorder="1" applyAlignment="1">
      <alignment horizontal="center" vertical="center"/>
    </xf>
    <xf numFmtId="9"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0" fillId="0" borderId="4" xfId="1" applyNumberFormat="1" applyFont="1" applyBorder="1" applyAlignment="1">
      <alignment horizontal="center" vertical="center"/>
    </xf>
    <xf numFmtId="9" fontId="0" fillId="0" borderId="4" xfId="2" applyFont="1" applyBorder="1" applyAlignment="1">
      <alignment horizontal="center" vertical="center"/>
    </xf>
    <xf numFmtId="0" fontId="2" fillId="0" borderId="4" xfId="0" applyFont="1" applyBorder="1" applyAlignment="1">
      <alignment horizontal="center" vertical="center"/>
    </xf>
    <xf numFmtId="165" fontId="2" fillId="0" borderId="4" xfId="1" applyNumberFormat="1" applyFont="1" applyBorder="1" applyAlignment="1">
      <alignment horizontal="center" vertical="center"/>
    </xf>
    <xf numFmtId="0" fontId="0" fillId="0" borderId="0" xfId="0" applyAlignment="1">
      <alignment wrapText="1"/>
    </xf>
    <xf numFmtId="165" fontId="0" fillId="0" borderId="0" xfId="0" applyNumberFormat="1"/>
    <xf numFmtId="0" fontId="2" fillId="2" borderId="4" xfId="0" applyFont="1" applyFill="1" applyBorder="1"/>
    <xf numFmtId="166" fontId="0" fillId="3" borderId="4" xfId="0" applyNumberFormat="1" applyFill="1" applyBorder="1"/>
    <xf numFmtId="0" fontId="2" fillId="2" borderId="4" xfId="0" applyFont="1" applyFill="1" applyBorder="1" applyAlignment="1">
      <alignment wrapText="1"/>
    </xf>
    <xf numFmtId="166" fontId="2" fillId="3" borderId="4" xfId="0" applyNumberFormat="1" applyFont="1" applyFill="1" applyBorder="1"/>
    <xf numFmtId="165" fontId="2" fillId="3" borderId="4" xfId="1" applyNumberFormat="1" applyFont="1" applyFill="1" applyBorder="1"/>
    <xf numFmtId="167" fontId="0" fillId="0" borderId="0" xfId="3" applyNumberFormat="1" applyFont="1"/>
    <xf numFmtId="43" fontId="0" fillId="0" borderId="0" xfId="0" applyNumberFormat="1"/>
    <xf numFmtId="1" fontId="0" fillId="0" borderId="0" xfId="0" applyNumberFormat="1"/>
    <xf numFmtId="43" fontId="0" fillId="0" borderId="0" xfId="3" applyFont="1"/>
    <xf numFmtId="167" fontId="2" fillId="0" borderId="4" xfId="3" applyNumberFormat="1" applyFont="1" applyBorder="1" applyAlignment="1">
      <alignment horizontal="center" vertical="top"/>
    </xf>
    <xf numFmtId="166" fontId="0" fillId="0" borderId="0" xfId="3" applyNumberFormat="1" applyFont="1"/>
    <xf numFmtId="167" fontId="0" fillId="0" borderId="0" xfId="0" applyNumberFormat="1"/>
    <xf numFmtId="3" fontId="0" fillId="0" borderId="0" xfId="0" applyNumberFormat="1" applyAlignment="1">
      <alignment wrapText="1"/>
    </xf>
    <xf numFmtId="3" fontId="11" fillId="0" borderId="0" xfId="0" applyNumberFormat="1" applyFont="1"/>
    <xf numFmtId="1" fontId="2" fillId="0" borderId="4" xfId="0" applyNumberFormat="1" applyFont="1" applyBorder="1" applyAlignment="1">
      <alignment horizontal="center" vertical="center"/>
    </xf>
    <xf numFmtId="0" fontId="2" fillId="4" borderId="4" xfId="4" applyFont="1" applyBorder="1" applyAlignment="1">
      <alignment horizontal="center" vertical="center" wrapText="1"/>
    </xf>
    <xf numFmtId="165" fontId="0" fillId="0" borderId="4" xfId="1" applyNumberFormat="1" applyFont="1" applyBorder="1"/>
    <xf numFmtId="165" fontId="0" fillId="0" borderId="4" xfId="0" applyNumberFormat="1" applyBorder="1"/>
    <xf numFmtId="165" fontId="2" fillId="0" borderId="4" xfId="0" applyNumberFormat="1" applyFont="1" applyBorder="1"/>
    <xf numFmtId="1" fontId="0" fillId="5" borderId="4" xfId="0" applyNumberFormat="1" applyFill="1" applyBorder="1" applyAlignment="1">
      <alignment horizontal="center" vertical="center"/>
    </xf>
    <xf numFmtId="165" fontId="0" fillId="0" borderId="4" xfId="1" applyNumberFormat="1" applyFont="1" applyBorder="1" applyAlignment="1">
      <alignment vertical="center"/>
    </xf>
    <xf numFmtId="44" fontId="4" fillId="7" borderId="4" xfId="1" applyFont="1" applyFill="1" applyBorder="1" applyAlignment="1">
      <alignment horizontal="center" vertical="center" wrapText="1"/>
    </xf>
    <xf numFmtId="0" fontId="2" fillId="0" borderId="4" xfId="0" applyFont="1" applyBorder="1" applyAlignment="1">
      <alignment horizontal="center" vertical="center" wrapText="1"/>
    </xf>
    <xf numFmtId="165" fontId="12" fillId="0" borderId="4" xfId="0" applyNumberFormat="1" applyFont="1" applyBorder="1" applyAlignment="1">
      <alignment vertical="center"/>
    </xf>
    <xf numFmtId="43" fontId="0" fillId="0" borderId="0" xfId="3" applyFont="1" applyFill="1"/>
    <xf numFmtId="166" fontId="0" fillId="0" borderId="0" xfId="0" applyNumberFormat="1"/>
    <xf numFmtId="166" fontId="2" fillId="0" borderId="0" xfId="0" applyNumberFormat="1" applyFont="1"/>
    <xf numFmtId="165" fontId="2" fillId="0" borderId="0" xfId="1" applyNumberFormat="1" applyFont="1" applyFill="1" applyBorder="1"/>
    <xf numFmtId="0" fontId="4" fillId="7" borderId="4" xfId="0" applyFont="1" applyFill="1" applyBorder="1" applyAlignment="1">
      <alignment horizontal="center" vertical="center" wrapText="1"/>
    </xf>
    <xf numFmtId="0" fontId="2" fillId="4" borderId="4" xfId="4" applyFont="1" applyBorder="1" applyAlignment="1">
      <alignment horizontal="center" wrapText="1"/>
    </xf>
    <xf numFmtId="0" fontId="2" fillId="7" borderId="4" xfId="0" applyFont="1" applyFill="1" applyBorder="1" applyAlignment="1">
      <alignment horizontal="center" vertical="center"/>
    </xf>
    <xf numFmtId="0" fontId="2" fillId="0" borderId="4" xfId="0" applyFont="1" applyBorder="1" applyAlignment="1">
      <alignment horizontal="center"/>
    </xf>
    <xf numFmtId="0" fontId="7" fillId="0" borderId="4" xfId="0" applyFont="1" applyBorder="1" applyAlignment="1">
      <alignment horizontal="left" vertical="center"/>
    </xf>
    <xf numFmtId="0" fontId="3" fillId="6" borderId="5" xfId="0" applyFont="1" applyFill="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xf>
    <xf numFmtId="44" fontId="4" fillId="7" borderId="1" xfId="1" applyFont="1" applyFill="1" applyBorder="1" applyAlignment="1">
      <alignment horizontal="center" vertical="center" wrapText="1"/>
    </xf>
    <xf numFmtId="44" fontId="4" fillId="7" borderId="2" xfId="1" applyFont="1" applyFill="1" applyBorder="1" applyAlignment="1">
      <alignment horizontal="center" vertical="center" wrapText="1"/>
    </xf>
    <xf numFmtId="44" fontId="4" fillId="7" borderId="3" xfId="1" applyFont="1" applyFill="1" applyBorder="1" applyAlignment="1">
      <alignment horizontal="center" vertical="center" wrapText="1"/>
    </xf>
    <xf numFmtId="44" fontId="14" fillId="0" borderId="4" xfId="1" applyNumberFormat="1" applyFont="1" applyBorder="1"/>
    <xf numFmtId="44" fontId="2" fillId="0" borderId="4" xfId="0" applyNumberFormat="1" applyFont="1" applyBorder="1"/>
    <xf numFmtId="0" fontId="2" fillId="0" borderId="4" xfId="0" applyFont="1" applyFill="1" applyBorder="1" applyAlignment="1">
      <alignment horizontal="center"/>
    </xf>
    <xf numFmtId="44" fontId="2" fillId="0" borderId="4" xfId="0" applyNumberFormat="1" applyFont="1" applyBorder="1" applyAlignment="1">
      <alignment horizontal="center"/>
    </xf>
    <xf numFmtId="0" fontId="2" fillId="7" borderId="4" xfId="0" applyFont="1" applyFill="1" applyBorder="1" applyAlignment="1">
      <alignment horizontal="center"/>
    </xf>
    <xf numFmtId="44" fontId="0" fillId="0" borderId="4" xfId="1" applyFont="1" applyBorder="1"/>
    <xf numFmtId="44" fontId="2" fillId="0" borderId="4" xfId="1" applyFont="1" applyBorder="1"/>
  </cellXfs>
  <cellStyles count="5">
    <cellStyle name="40% - Accent1" xfId="4" builtinId="31"/>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Y32"/>
  <sheetViews>
    <sheetView zoomScale="85" zoomScaleNormal="85" workbookViewId="0">
      <selection activeCell="B3" sqref="B3:U19"/>
    </sheetView>
  </sheetViews>
  <sheetFormatPr defaultRowHeight="15" x14ac:dyDescent="0.25"/>
  <cols>
    <col min="1" max="1" width="7.42578125" customWidth="1"/>
    <col min="2" max="2" width="6.5703125" customWidth="1"/>
    <col min="3" max="3" width="16.140625" customWidth="1"/>
    <col min="4" max="4" width="21.85546875" style="10" customWidth="1"/>
    <col min="5" max="5" width="15.7109375" style="10" customWidth="1"/>
    <col min="6" max="6" width="12" style="10" customWidth="1"/>
    <col min="7" max="7" width="10.28515625" style="10" customWidth="1"/>
    <col min="8" max="8" width="10" customWidth="1"/>
    <col min="9" max="9" width="7.85546875" customWidth="1"/>
    <col min="10" max="10" width="12.28515625" customWidth="1"/>
    <col min="11" max="11" width="9.42578125" customWidth="1"/>
    <col min="12" max="12" width="12" hidden="1" customWidth="1"/>
    <col min="13" max="13" width="10.85546875" hidden="1" customWidth="1"/>
    <col min="14" max="14" width="9.140625" hidden="1" customWidth="1"/>
    <col min="15" max="15" width="12.140625" hidden="1" customWidth="1"/>
    <col min="16" max="16" width="12.5703125" customWidth="1"/>
    <col min="17" max="17" width="14.85546875" customWidth="1"/>
    <col min="18" max="18" width="13.5703125" customWidth="1"/>
    <col min="19" max="19" width="14.140625" hidden="1" customWidth="1"/>
    <col min="20" max="20" width="12" hidden="1" customWidth="1"/>
    <col min="21" max="21" width="15.42578125" customWidth="1"/>
    <col min="23" max="23" width="14.28515625" style="17" bestFit="1" customWidth="1"/>
    <col min="25" max="25" width="14.28515625" bestFit="1" customWidth="1"/>
  </cols>
  <sheetData>
    <row r="3" spans="2:21" ht="15.75" customHeight="1" x14ac:dyDescent="0.25">
      <c r="B3" s="45" t="s">
        <v>64</v>
      </c>
      <c r="C3" s="45"/>
      <c r="D3" s="45"/>
      <c r="E3" s="45"/>
      <c r="F3" s="45"/>
      <c r="G3" s="45"/>
      <c r="H3" s="45"/>
      <c r="I3" s="45"/>
      <c r="J3" s="45"/>
      <c r="K3" s="45"/>
      <c r="L3" s="45"/>
      <c r="M3" s="45"/>
      <c r="N3" s="45"/>
      <c r="O3" s="45"/>
      <c r="P3" s="45"/>
      <c r="Q3" s="45"/>
      <c r="R3" s="45"/>
      <c r="S3" s="45"/>
      <c r="T3" s="45"/>
      <c r="U3" s="45"/>
    </row>
    <row r="4" spans="2:21" ht="61.5" customHeight="1" x14ac:dyDescent="0.25">
      <c r="B4" s="40" t="s">
        <v>0</v>
      </c>
      <c r="C4" s="40" t="s">
        <v>30</v>
      </c>
      <c r="D4" s="40" t="s">
        <v>1</v>
      </c>
      <c r="E4" s="40" t="s">
        <v>28</v>
      </c>
      <c r="F4" s="40" t="s">
        <v>39</v>
      </c>
      <c r="G4" s="40" t="s">
        <v>2</v>
      </c>
      <c r="H4" s="40" t="s">
        <v>67</v>
      </c>
      <c r="I4" s="40" t="s">
        <v>3</v>
      </c>
      <c r="J4" s="40" t="s">
        <v>4</v>
      </c>
      <c r="K4" s="40" t="s">
        <v>5</v>
      </c>
      <c r="L4" s="40" t="s">
        <v>6</v>
      </c>
      <c r="M4" s="40" t="s">
        <v>7</v>
      </c>
      <c r="N4" s="40" t="s">
        <v>8</v>
      </c>
      <c r="O4" s="40" t="s">
        <v>9</v>
      </c>
      <c r="P4" s="40" t="s">
        <v>10</v>
      </c>
      <c r="Q4" s="40" t="s">
        <v>68</v>
      </c>
      <c r="R4" s="40" t="s">
        <v>69</v>
      </c>
      <c r="S4" s="40" t="s">
        <v>70</v>
      </c>
      <c r="T4" s="40" t="s">
        <v>11</v>
      </c>
      <c r="U4" s="40" t="s">
        <v>71</v>
      </c>
    </row>
    <row r="5" spans="2:21" ht="26.25" customHeight="1" x14ac:dyDescent="0.25">
      <c r="B5" s="1">
        <v>1</v>
      </c>
      <c r="C5" s="2" t="s">
        <v>32</v>
      </c>
      <c r="D5" s="2" t="s">
        <v>36</v>
      </c>
      <c r="E5" s="2" t="s">
        <v>29</v>
      </c>
      <c r="F5" s="2">
        <v>1</v>
      </c>
      <c r="G5" s="2">
        <f>3700*F5</f>
        <v>3700</v>
      </c>
      <c r="H5" s="3">
        <f>G5*0.092903</f>
        <v>343.74110000000002</v>
      </c>
      <c r="I5" s="3">
        <v>12</v>
      </c>
      <c r="J5" s="1">
        <v>2017</v>
      </c>
      <c r="K5" s="1">
        <v>2022</v>
      </c>
      <c r="L5" s="1">
        <f>K5-J5</f>
        <v>5</v>
      </c>
      <c r="M5" s="1">
        <v>60</v>
      </c>
      <c r="N5" s="4">
        <v>0.1</v>
      </c>
      <c r="O5" s="5">
        <f>(1-N5)/M5</f>
        <v>1.5000000000000001E-2</v>
      </c>
      <c r="P5" s="6">
        <v>1100</v>
      </c>
      <c r="Q5" s="6">
        <f>P5*G5</f>
        <v>4070000</v>
      </c>
      <c r="R5" s="6">
        <f t="shared" ref="R5:R12" si="0">Q5*O5*L5</f>
        <v>305250.00000000006</v>
      </c>
      <c r="S5" s="6">
        <f t="shared" ref="S5:S9" si="1">MAX(Q5-R5,0)</f>
        <v>3764750</v>
      </c>
      <c r="T5" s="7">
        <v>0</v>
      </c>
      <c r="U5" s="6">
        <f t="shared" ref="U5:U13" si="2">IF(S5&gt;N5*Q5,S5*(1-T5),Q5*N5)</f>
        <v>3764750</v>
      </c>
    </row>
    <row r="6" spans="2:21" ht="43.5" customHeight="1" x14ac:dyDescent="0.25">
      <c r="B6" s="1">
        <v>2</v>
      </c>
      <c r="C6" s="2" t="s">
        <v>31</v>
      </c>
      <c r="D6" s="2" t="s">
        <v>37</v>
      </c>
      <c r="E6" s="2" t="s">
        <v>29</v>
      </c>
      <c r="F6" s="2">
        <v>13</v>
      </c>
      <c r="G6" s="2">
        <f>900*F6</f>
        <v>11700</v>
      </c>
      <c r="H6" s="3">
        <f t="shared" ref="H6:H13" si="3">G6*0.092903</f>
        <v>1086.9650999999999</v>
      </c>
      <c r="I6" s="3">
        <v>13</v>
      </c>
      <c r="J6" s="1">
        <v>2017</v>
      </c>
      <c r="K6" s="1">
        <v>2022</v>
      </c>
      <c r="L6" s="1">
        <f>K6-J6</f>
        <v>5</v>
      </c>
      <c r="M6" s="1">
        <v>40</v>
      </c>
      <c r="N6" s="4">
        <v>0.1</v>
      </c>
      <c r="O6" s="5">
        <f>(1-N6)/M6</f>
        <v>2.2499999999999999E-2</v>
      </c>
      <c r="P6" s="6">
        <v>700</v>
      </c>
      <c r="Q6" s="6">
        <f t="shared" ref="Q6:Q13" si="4">P6*G6</f>
        <v>8190000</v>
      </c>
      <c r="R6" s="6">
        <f t="shared" si="0"/>
        <v>921375</v>
      </c>
      <c r="S6" s="6">
        <f>MAX(Q6-R6,0)</f>
        <v>7268625</v>
      </c>
      <c r="T6" s="7">
        <v>0</v>
      </c>
      <c r="U6" s="6">
        <f t="shared" si="2"/>
        <v>7268625</v>
      </c>
    </row>
    <row r="7" spans="2:21" ht="29.25" customHeight="1" x14ac:dyDescent="0.25">
      <c r="B7" s="1">
        <v>3</v>
      </c>
      <c r="C7" s="1" t="s">
        <v>33</v>
      </c>
      <c r="D7" s="2" t="s">
        <v>38</v>
      </c>
      <c r="E7" s="2" t="s">
        <v>29</v>
      </c>
      <c r="F7" s="2">
        <v>13</v>
      </c>
      <c r="G7" s="2">
        <f>350*F7</f>
        <v>4550</v>
      </c>
      <c r="H7" s="3">
        <f t="shared" si="3"/>
        <v>422.70864999999998</v>
      </c>
      <c r="I7" s="3">
        <v>15</v>
      </c>
      <c r="J7" s="1">
        <v>2017</v>
      </c>
      <c r="K7" s="1">
        <v>2022</v>
      </c>
      <c r="L7" s="1">
        <f t="shared" ref="L7:L8" si="5">K7-J7</f>
        <v>5</v>
      </c>
      <c r="M7" s="1">
        <v>30</v>
      </c>
      <c r="N7" s="4">
        <v>0.1</v>
      </c>
      <c r="O7" s="5">
        <f t="shared" ref="O7:O8" si="6">(1-N7)/M7</f>
        <v>3.0000000000000002E-2</v>
      </c>
      <c r="P7" s="6">
        <v>600</v>
      </c>
      <c r="Q7" s="6">
        <f t="shared" si="4"/>
        <v>2730000</v>
      </c>
      <c r="R7" s="6">
        <f t="shared" si="0"/>
        <v>409500</v>
      </c>
      <c r="S7" s="6">
        <f t="shared" ref="S7" si="7">MAX(Q7-R7,0)</f>
        <v>2320500</v>
      </c>
      <c r="T7" s="7">
        <v>0</v>
      </c>
      <c r="U7" s="6">
        <f t="shared" si="2"/>
        <v>2320500</v>
      </c>
    </row>
    <row r="8" spans="2:21" ht="27.75" customHeight="1" x14ac:dyDescent="0.25">
      <c r="B8" s="1">
        <v>4</v>
      </c>
      <c r="C8" s="2" t="s">
        <v>32</v>
      </c>
      <c r="D8" s="2" t="s">
        <v>36</v>
      </c>
      <c r="E8" s="2" t="s">
        <v>34</v>
      </c>
      <c r="F8" s="2">
        <v>1</v>
      </c>
      <c r="G8" s="2">
        <v>3700</v>
      </c>
      <c r="H8" s="3">
        <f t="shared" si="3"/>
        <v>343.74110000000002</v>
      </c>
      <c r="I8" s="3">
        <v>12</v>
      </c>
      <c r="J8" s="1">
        <v>2017</v>
      </c>
      <c r="K8" s="1">
        <v>2022</v>
      </c>
      <c r="L8" s="1">
        <f t="shared" si="5"/>
        <v>5</v>
      </c>
      <c r="M8" s="1">
        <v>60</v>
      </c>
      <c r="N8" s="4">
        <v>0.1</v>
      </c>
      <c r="O8" s="5">
        <f t="shared" si="6"/>
        <v>1.5000000000000001E-2</v>
      </c>
      <c r="P8" s="6">
        <v>1100</v>
      </c>
      <c r="Q8" s="6">
        <f t="shared" si="4"/>
        <v>4070000</v>
      </c>
      <c r="R8" s="6">
        <f t="shared" si="0"/>
        <v>305250.00000000006</v>
      </c>
      <c r="S8" s="6">
        <f t="shared" si="1"/>
        <v>3764750</v>
      </c>
      <c r="T8" s="7">
        <v>0</v>
      </c>
      <c r="U8" s="6">
        <f t="shared" si="2"/>
        <v>3764750</v>
      </c>
    </row>
    <row r="9" spans="2:21" ht="44.25" customHeight="1" x14ac:dyDescent="0.25">
      <c r="B9" s="1">
        <v>5</v>
      </c>
      <c r="C9" s="2" t="s">
        <v>31</v>
      </c>
      <c r="D9" s="2" t="s">
        <v>37</v>
      </c>
      <c r="E9" s="2" t="s">
        <v>34</v>
      </c>
      <c r="F9" s="2">
        <v>9</v>
      </c>
      <c r="G9" s="2">
        <f>900*9</f>
        <v>8100</v>
      </c>
      <c r="H9" s="3">
        <f t="shared" si="3"/>
        <v>752.51430000000005</v>
      </c>
      <c r="I9" s="3">
        <v>13</v>
      </c>
      <c r="J9" s="1">
        <v>2017</v>
      </c>
      <c r="K9" s="1">
        <v>2022</v>
      </c>
      <c r="L9" s="1">
        <f>K9-J9</f>
        <v>5</v>
      </c>
      <c r="M9" s="1">
        <v>40</v>
      </c>
      <c r="N9" s="4">
        <v>0.1</v>
      </c>
      <c r="O9" s="5">
        <f>(1-N9)/M9</f>
        <v>2.2499999999999999E-2</v>
      </c>
      <c r="P9" s="6">
        <v>700</v>
      </c>
      <c r="Q9" s="6">
        <f t="shared" si="4"/>
        <v>5670000</v>
      </c>
      <c r="R9" s="6">
        <f t="shared" si="0"/>
        <v>637875</v>
      </c>
      <c r="S9" s="6">
        <f t="shared" si="1"/>
        <v>5032125</v>
      </c>
      <c r="T9" s="7">
        <v>0</v>
      </c>
      <c r="U9" s="6">
        <f t="shared" si="2"/>
        <v>5032125</v>
      </c>
    </row>
    <row r="10" spans="2:21" ht="29.25" customHeight="1" x14ac:dyDescent="0.25">
      <c r="B10" s="1">
        <v>6</v>
      </c>
      <c r="C10" s="1" t="s">
        <v>33</v>
      </c>
      <c r="D10" s="2" t="s">
        <v>38</v>
      </c>
      <c r="E10" s="2" t="s">
        <v>34</v>
      </c>
      <c r="F10" s="2">
        <v>9</v>
      </c>
      <c r="G10" s="2">
        <f>350*9</f>
        <v>3150</v>
      </c>
      <c r="H10" s="3">
        <f t="shared" si="3"/>
        <v>292.64445000000001</v>
      </c>
      <c r="I10" s="3">
        <v>15</v>
      </c>
      <c r="J10" s="1">
        <v>2017</v>
      </c>
      <c r="K10" s="1">
        <v>2022</v>
      </c>
      <c r="L10" s="1">
        <f>K10-J10</f>
        <v>5</v>
      </c>
      <c r="M10" s="1">
        <v>30</v>
      </c>
      <c r="N10" s="4">
        <v>0.1</v>
      </c>
      <c r="O10" s="5">
        <f>(1-N10)/M10</f>
        <v>3.0000000000000002E-2</v>
      </c>
      <c r="P10" s="6">
        <v>600</v>
      </c>
      <c r="Q10" s="6">
        <f t="shared" si="4"/>
        <v>1890000</v>
      </c>
      <c r="R10" s="6">
        <f t="shared" si="0"/>
        <v>283500.00000000006</v>
      </c>
      <c r="S10" s="6">
        <f>MAX(Q10-R10,0)</f>
        <v>1606500</v>
      </c>
      <c r="T10" s="7">
        <v>0</v>
      </c>
      <c r="U10" s="6">
        <f t="shared" ref="U10:U12" si="8">IF(S10&gt;N10*Q10,S10*(1-T10),Q10*N10)</f>
        <v>1606500</v>
      </c>
    </row>
    <row r="11" spans="2:21" ht="30.75" customHeight="1" x14ac:dyDescent="0.25">
      <c r="B11" s="1">
        <v>7</v>
      </c>
      <c r="C11" s="2" t="s">
        <v>32</v>
      </c>
      <c r="D11" s="2" t="s">
        <v>36</v>
      </c>
      <c r="E11" s="2" t="s">
        <v>35</v>
      </c>
      <c r="F11" s="2">
        <v>1</v>
      </c>
      <c r="G11" s="2">
        <f>20.5*25.5*1</f>
        <v>522.75</v>
      </c>
      <c r="H11" s="3">
        <f t="shared" si="3"/>
        <v>48.565043250000002</v>
      </c>
      <c r="I11" s="3">
        <v>12</v>
      </c>
      <c r="J11" s="1">
        <v>2017</v>
      </c>
      <c r="K11" s="1">
        <v>2022</v>
      </c>
      <c r="L11" s="1">
        <f t="shared" ref="L11:L12" si="9">K11-J11</f>
        <v>5</v>
      </c>
      <c r="M11" s="1">
        <v>60</v>
      </c>
      <c r="N11" s="4">
        <v>0.1</v>
      </c>
      <c r="O11" s="5">
        <f t="shared" ref="O11:O12" si="10">(1-N11)/M11</f>
        <v>1.5000000000000001E-2</v>
      </c>
      <c r="P11" s="6">
        <v>1100</v>
      </c>
      <c r="Q11" s="6">
        <f t="shared" si="4"/>
        <v>575025</v>
      </c>
      <c r="R11" s="6">
        <f t="shared" si="0"/>
        <v>43126.875</v>
      </c>
      <c r="S11" s="6">
        <f t="shared" ref="S11:S12" si="11">MAX(Q11-R11,0)</f>
        <v>531898.125</v>
      </c>
      <c r="T11" s="7">
        <v>0</v>
      </c>
      <c r="U11" s="6">
        <f t="shared" si="8"/>
        <v>531898.125</v>
      </c>
    </row>
    <row r="12" spans="2:21" ht="42" customHeight="1" x14ac:dyDescent="0.25">
      <c r="B12" s="1">
        <v>8</v>
      </c>
      <c r="C12" s="2" t="s">
        <v>31</v>
      </c>
      <c r="D12" s="2" t="s">
        <v>37</v>
      </c>
      <c r="E12" s="2" t="s">
        <v>35</v>
      </c>
      <c r="F12" s="2">
        <v>2</v>
      </c>
      <c r="G12" s="2">
        <f>900*F12</f>
        <v>1800</v>
      </c>
      <c r="H12" s="3">
        <f t="shared" si="3"/>
        <v>167.22540000000001</v>
      </c>
      <c r="I12" s="3">
        <v>13</v>
      </c>
      <c r="J12" s="1">
        <v>2017</v>
      </c>
      <c r="K12" s="1">
        <v>2022</v>
      </c>
      <c r="L12" s="1">
        <f t="shared" si="9"/>
        <v>5</v>
      </c>
      <c r="M12" s="1">
        <v>40</v>
      </c>
      <c r="N12" s="4">
        <v>0.1</v>
      </c>
      <c r="O12" s="5">
        <f t="shared" si="10"/>
        <v>2.2499999999999999E-2</v>
      </c>
      <c r="P12" s="6">
        <v>700</v>
      </c>
      <c r="Q12" s="6">
        <f t="shared" si="4"/>
        <v>1260000</v>
      </c>
      <c r="R12" s="6">
        <f t="shared" si="0"/>
        <v>141750</v>
      </c>
      <c r="S12" s="6">
        <f t="shared" si="11"/>
        <v>1118250</v>
      </c>
      <c r="T12" s="7">
        <v>0</v>
      </c>
      <c r="U12" s="6">
        <f t="shared" si="8"/>
        <v>1118250</v>
      </c>
    </row>
    <row r="13" spans="2:21" ht="28.5" customHeight="1" x14ac:dyDescent="0.25">
      <c r="B13" s="1">
        <v>9</v>
      </c>
      <c r="C13" s="1" t="s">
        <v>33</v>
      </c>
      <c r="D13" s="2" t="s">
        <v>38</v>
      </c>
      <c r="E13" s="2" t="s">
        <v>35</v>
      </c>
      <c r="F13" s="2">
        <v>2</v>
      </c>
      <c r="G13" s="2">
        <f>350*F13</f>
        <v>700</v>
      </c>
      <c r="H13" s="3">
        <f t="shared" si="3"/>
        <v>65.0321</v>
      </c>
      <c r="I13" s="3">
        <v>15</v>
      </c>
      <c r="J13" s="1">
        <v>2017</v>
      </c>
      <c r="K13" s="1">
        <v>2022</v>
      </c>
      <c r="L13" s="1">
        <f>K13-J13</f>
        <v>5</v>
      </c>
      <c r="M13" s="1">
        <v>30</v>
      </c>
      <c r="N13" s="4">
        <v>0.1</v>
      </c>
      <c r="O13" s="5">
        <f>(1-N13)/M13</f>
        <v>3.0000000000000002E-2</v>
      </c>
      <c r="P13" s="6">
        <v>600</v>
      </c>
      <c r="Q13" s="6">
        <f t="shared" si="4"/>
        <v>420000</v>
      </c>
      <c r="R13" s="6">
        <f>Q13*O13*L13</f>
        <v>63000.000000000007</v>
      </c>
      <c r="S13" s="6">
        <f>MAX(Q13-R13,0)</f>
        <v>357000</v>
      </c>
      <c r="T13" s="7">
        <v>0</v>
      </c>
      <c r="U13" s="6">
        <f t="shared" si="2"/>
        <v>357000</v>
      </c>
    </row>
    <row r="14" spans="2:21" x14ac:dyDescent="0.25">
      <c r="B14" s="46" t="s">
        <v>12</v>
      </c>
      <c r="C14" s="46"/>
      <c r="D14" s="46"/>
      <c r="E14" s="8"/>
      <c r="F14" s="8"/>
      <c r="G14" s="26">
        <f>SUM(G5:G13)</f>
        <v>37922.75</v>
      </c>
      <c r="H14" s="21">
        <f>SUM(H5:H13)</f>
        <v>3523.1372432499998</v>
      </c>
      <c r="I14" s="52"/>
      <c r="J14" s="53"/>
      <c r="K14" s="53"/>
      <c r="L14" s="53"/>
      <c r="M14" s="53"/>
      <c r="N14" s="53"/>
      <c r="O14" s="53"/>
      <c r="P14" s="54"/>
      <c r="Q14" s="9">
        <f>SUM(Q5:Q13)</f>
        <v>28875025</v>
      </c>
      <c r="R14" s="9">
        <f>SUM(R5:R13)</f>
        <v>3110626.875</v>
      </c>
      <c r="S14" s="9">
        <f>SUM(S5:S13)</f>
        <v>25764398.125</v>
      </c>
      <c r="T14" s="9"/>
      <c r="U14" s="9">
        <f>SUM(U5:U13)</f>
        <v>25764398.125</v>
      </c>
    </row>
    <row r="15" spans="2:21" x14ac:dyDescent="0.25">
      <c r="B15" s="47" t="s">
        <v>13</v>
      </c>
      <c r="C15" s="47"/>
      <c r="D15" s="47"/>
      <c r="E15" s="47"/>
      <c r="F15" s="47"/>
      <c r="G15" s="47"/>
      <c r="H15" s="47"/>
      <c r="I15" s="47"/>
      <c r="J15" s="47"/>
      <c r="K15" s="47"/>
      <c r="L15" s="47"/>
      <c r="M15" s="47"/>
      <c r="N15" s="47"/>
      <c r="O15" s="47"/>
      <c r="P15" s="47"/>
      <c r="Q15" s="47"/>
      <c r="R15" s="47"/>
      <c r="S15" s="47"/>
      <c r="T15" s="47"/>
      <c r="U15" s="47"/>
    </row>
    <row r="16" spans="2:21" x14ac:dyDescent="0.25">
      <c r="B16" s="47" t="s">
        <v>66</v>
      </c>
      <c r="C16" s="47"/>
      <c r="D16" s="47"/>
      <c r="E16" s="47"/>
      <c r="F16" s="47"/>
      <c r="G16" s="47"/>
      <c r="H16" s="47"/>
      <c r="I16" s="47"/>
      <c r="J16" s="47"/>
      <c r="K16" s="47"/>
      <c r="L16" s="47"/>
      <c r="M16" s="47"/>
      <c r="N16" s="47"/>
      <c r="O16" s="47"/>
      <c r="P16" s="47"/>
      <c r="Q16" s="47"/>
      <c r="R16" s="47"/>
      <c r="S16" s="47"/>
      <c r="T16" s="47"/>
      <c r="U16" s="47"/>
    </row>
    <row r="17" spans="2:25" x14ac:dyDescent="0.25">
      <c r="B17" s="48" t="s">
        <v>40</v>
      </c>
      <c r="C17" s="44"/>
      <c r="D17" s="44"/>
      <c r="E17" s="44"/>
      <c r="F17" s="44"/>
      <c r="G17" s="44"/>
      <c r="H17" s="44"/>
      <c r="I17" s="44"/>
      <c r="J17" s="44"/>
      <c r="K17" s="44"/>
      <c r="L17" s="44"/>
      <c r="M17" s="44"/>
      <c r="N17" s="44"/>
      <c r="O17" s="44"/>
      <c r="P17" s="44"/>
      <c r="Q17" s="44"/>
      <c r="R17" s="44"/>
      <c r="S17" s="44"/>
      <c r="T17" s="44"/>
      <c r="U17" s="44"/>
      <c r="W17" s="20"/>
    </row>
    <row r="18" spans="2:25" ht="15" customHeight="1" x14ac:dyDescent="0.25">
      <c r="B18" s="49" t="s">
        <v>25</v>
      </c>
      <c r="C18" s="50"/>
      <c r="D18" s="50"/>
      <c r="E18" s="50"/>
      <c r="F18" s="50"/>
      <c r="G18" s="50"/>
      <c r="H18" s="50"/>
      <c r="I18" s="50"/>
      <c r="J18" s="50"/>
      <c r="K18" s="50"/>
      <c r="L18" s="50"/>
      <c r="M18" s="50"/>
      <c r="N18" s="50"/>
      <c r="O18" s="50"/>
      <c r="P18" s="50"/>
      <c r="Q18" s="50"/>
      <c r="R18" s="50"/>
      <c r="S18" s="50"/>
      <c r="T18" s="50"/>
      <c r="U18" s="51"/>
      <c r="W18" s="36"/>
    </row>
    <row r="19" spans="2:25" x14ac:dyDescent="0.25">
      <c r="B19" s="44" t="s">
        <v>24</v>
      </c>
      <c r="C19" s="44"/>
      <c r="D19" s="44"/>
      <c r="E19" s="44"/>
      <c r="F19" s="44"/>
      <c r="G19" s="44"/>
      <c r="H19" s="44"/>
      <c r="I19" s="44"/>
      <c r="J19" s="44"/>
      <c r="K19" s="44"/>
      <c r="L19" s="44"/>
      <c r="M19" s="44"/>
      <c r="N19" s="44"/>
      <c r="O19" s="44"/>
      <c r="P19" s="44"/>
      <c r="Q19" s="44"/>
      <c r="R19" s="44"/>
      <c r="S19" s="44"/>
      <c r="T19" s="44"/>
      <c r="U19" s="44"/>
    </row>
    <row r="21" spans="2:25" x14ac:dyDescent="0.25">
      <c r="C21" s="12" t="s">
        <v>27</v>
      </c>
      <c r="D21" s="13">
        <f>H14*800</f>
        <v>2818509.7945999997</v>
      </c>
      <c r="E21" s="37"/>
      <c r="F21" s="37"/>
    </row>
    <row r="22" spans="2:25" x14ac:dyDescent="0.25">
      <c r="C22" s="12" t="s">
        <v>14</v>
      </c>
      <c r="D22" s="13">
        <f>43862500</f>
        <v>43862500</v>
      </c>
      <c r="E22" s="37"/>
      <c r="F22" s="37"/>
      <c r="G22" s="10" t="s">
        <v>22</v>
      </c>
      <c r="H22" s="11">
        <f>28000*1800</f>
        <v>50400000</v>
      </c>
      <c r="Y22" s="23">
        <f>H14*900</f>
        <v>3170823.518925</v>
      </c>
    </row>
    <row r="23" spans="2:25" x14ac:dyDescent="0.25">
      <c r="C23" s="12" t="s">
        <v>15</v>
      </c>
      <c r="D23" s="13">
        <f>U14</f>
        <v>25764398.125</v>
      </c>
      <c r="E23" s="37"/>
      <c r="F23" s="37"/>
      <c r="G23" s="10" t="s">
        <v>23</v>
      </c>
      <c r="H23" s="22">
        <f>15000*G14</f>
        <v>568841250</v>
      </c>
      <c r="L23" s="19" t="e">
        <f>13*#REF!</f>
        <v>#REF!</v>
      </c>
    </row>
    <row r="24" spans="2:25" x14ac:dyDescent="0.25">
      <c r="C24" s="12" t="s">
        <v>26</v>
      </c>
      <c r="D24" s="13">
        <f>2313000</f>
        <v>2313000</v>
      </c>
      <c r="E24" s="37"/>
      <c r="F24" s="37"/>
      <c r="H24" s="22"/>
      <c r="L24" s="19"/>
    </row>
    <row r="25" spans="2:25" x14ac:dyDescent="0.25">
      <c r="C25" s="14" t="s">
        <v>16</v>
      </c>
      <c r="D25" s="15">
        <f>SUM(D22:D24)</f>
        <v>71939898.125</v>
      </c>
      <c r="E25" s="38"/>
      <c r="F25" s="38"/>
      <c r="H25" s="11">
        <f>H23+H22</f>
        <v>619241250</v>
      </c>
      <c r="K25" t="s">
        <v>20</v>
      </c>
      <c r="L25" s="19" t="e">
        <f>L23*9</f>
        <v>#REF!</v>
      </c>
    </row>
    <row r="26" spans="2:25" x14ac:dyDescent="0.25">
      <c r="C26" s="14" t="s">
        <v>17</v>
      </c>
      <c r="D26" s="15">
        <v>84000000</v>
      </c>
      <c r="E26" s="38"/>
      <c r="F26" s="38"/>
      <c r="K26" t="s">
        <v>21</v>
      </c>
      <c r="L26" s="17">
        <v>20000000</v>
      </c>
    </row>
    <row r="27" spans="2:25" x14ac:dyDescent="0.25">
      <c r="C27" s="12" t="s">
        <v>18</v>
      </c>
      <c r="D27" s="16">
        <f>0.85*D26</f>
        <v>71400000</v>
      </c>
      <c r="E27" s="39"/>
      <c r="F27" s="39"/>
      <c r="L27" s="18" t="e">
        <f>L26/L25</f>
        <v>#REF!</v>
      </c>
      <c r="P27">
        <f>1817+1067</f>
        <v>2884</v>
      </c>
    </row>
    <row r="28" spans="2:25" x14ac:dyDescent="0.25">
      <c r="C28" s="12" t="s">
        <v>19</v>
      </c>
      <c r="D28" s="16">
        <f>0.75*D26</f>
        <v>63000000</v>
      </c>
      <c r="E28" s="39"/>
      <c r="F28" s="39"/>
      <c r="M28">
        <f>(SUM(H6:H13)*150)</f>
        <v>476909.42148749996</v>
      </c>
      <c r="P28">
        <f>88*2</f>
        <v>176</v>
      </c>
    </row>
    <row r="30" spans="2:25" x14ac:dyDescent="0.25">
      <c r="D30" s="24">
        <v>26177937</v>
      </c>
      <c r="E30" s="24"/>
      <c r="F30" s="24"/>
    </row>
    <row r="31" spans="2:25" x14ac:dyDescent="0.25">
      <c r="D31" s="25">
        <v>59895600</v>
      </c>
      <c r="E31" s="25"/>
      <c r="F31" s="25"/>
    </row>
    <row r="32" spans="2:25" x14ac:dyDescent="0.25">
      <c r="D32" s="24">
        <f>D31+D30</f>
        <v>86073537</v>
      </c>
      <c r="E32" s="24"/>
      <c r="F32" s="24"/>
    </row>
  </sheetData>
  <mergeCells count="8">
    <mergeCell ref="B19:U19"/>
    <mergeCell ref="B3:U3"/>
    <mergeCell ref="B14:D14"/>
    <mergeCell ref="B15:U15"/>
    <mergeCell ref="B16:U16"/>
    <mergeCell ref="B17:U17"/>
    <mergeCell ref="B18:U18"/>
    <mergeCell ref="I14:P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63A7-04C5-42DA-B0E9-9A57D1C9B6EF}">
  <dimension ref="B4:J7"/>
  <sheetViews>
    <sheetView workbookViewId="0">
      <selection activeCell="L10" sqref="L10"/>
    </sheetView>
  </sheetViews>
  <sheetFormatPr defaultRowHeight="15" x14ac:dyDescent="0.25"/>
  <cols>
    <col min="2" max="2" width="6.140625" customWidth="1"/>
    <col min="3" max="3" width="15.28515625" customWidth="1"/>
    <col min="4" max="4" width="12.140625" customWidth="1"/>
    <col min="5" max="5" width="10.5703125" customWidth="1"/>
    <col min="6" max="6" width="20.42578125" customWidth="1"/>
    <col min="7" max="7" width="12" customWidth="1"/>
    <col min="8" max="8" width="12.140625" customWidth="1"/>
    <col min="9" max="9" width="10.42578125" customWidth="1"/>
    <col min="10" max="10" width="13.28515625" bestFit="1" customWidth="1"/>
  </cols>
  <sheetData>
    <row r="4" spans="2:10" ht="15.75" customHeight="1" x14ac:dyDescent="0.25">
      <c r="B4" s="45" t="s">
        <v>74</v>
      </c>
      <c r="C4" s="45"/>
      <c r="D4" s="45"/>
      <c r="E4" s="45"/>
      <c r="F4" s="45"/>
      <c r="G4" s="45"/>
      <c r="H4" s="45"/>
      <c r="I4" s="45"/>
      <c r="J4" s="45"/>
    </row>
    <row r="5" spans="2:10" ht="45" x14ac:dyDescent="0.25">
      <c r="B5" s="27" t="s">
        <v>41</v>
      </c>
      <c r="C5" s="27" t="s">
        <v>42</v>
      </c>
      <c r="D5" s="27" t="s">
        <v>43</v>
      </c>
      <c r="E5" s="27" t="s">
        <v>77</v>
      </c>
      <c r="F5" s="41" t="s">
        <v>44</v>
      </c>
      <c r="G5" s="27" t="s">
        <v>45</v>
      </c>
      <c r="H5" s="27" t="s">
        <v>75</v>
      </c>
      <c r="I5" s="27" t="s">
        <v>76</v>
      </c>
      <c r="J5" s="27" t="s">
        <v>46</v>
      </c>
    </row>
    <row r="6" spans="2:10" x14ac:dyDescent="0.25">
      <c r="B6" s="1">
        <v>1</v>
      </c>
      <c r="C6" s="2" t="s">
        <v>47</v>
      </c>
      <c r="D6" s="1">
        <v>2017</v>
      </c>
      <c r="E6" s="1">
        <v>7</v>
      </c>
      <c r="F6" s="1" t="s">
        <v>48</v>
      </c>
      <c r="G6" s="1" t="s">
        <v>49</v>
      </c>
      <c r="H6" s="31">
        <v>12790</v>
      </c>
      <c r="I6" s="28">
        <v>320</v>
      </c>
      <c r="J6" s="29">
        <f>I6*H6</f>
        <v>4092800</v>
      </c>
    </row>
    <row r="7" spans="2:10" x14ac:dyDescent="0.25">
      <c r="B7" s="55" t="s">
        <v>12</v>
      </c>
      <c r="C7" s="55"/>
      <c r="D7" s="55"/>
      <c r="E7" s="55"/>
      <c r="F7" s="55"/>
      <c r="G7" s="55"/>
      <c r="H7" s="55"/>
      <c r="I7" s="55"/>
      <c r="J7" s="30">
        <f>SUM(J6)</f>
        <v>4092800</v>
      </c>
    </row>
  </sheetData>
  <mergeCells count="2">
    <mergeCell ref="B4:J4"/>
    <mergeCell ref="B7:I7"/>
  </mergeCells>
  <dataValidations count="1">
    <dataValidation type="list" allowBlank="1" showInputMessage="1" showErrorMessage="1" sqref="G6" xr:uid="{B1C0A836-679F-49EC-AD34-09AC579C7B70}">
      <formula1>"Very Good, Good, Average, Poor, Ordinary with wreckages in the structure"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8D19-BCD6-40ED-AD60-1CE5095A0131}">
  <dimension ref="D4:K7"/>
  <sheetViews>
    <sheetView workbookViewId="0">
      <selection activeCell="H13" sqref="H13"/>
    </sheetView>
  </sheetViews>
  <sheetFormatPr defaultRowHeight="15" x14ac:dyDescent="0.25"/>
  <cols>
    <col min="4" max="4" width="6" customWidth="1"/>
    <col min="5" max="5" width="15.28515625" customWidth="1"/>
    <col min="6" max="6" width="14.5703125" customWidth="1"/>
    <col min="7" max="7" width="20" bestFit="1" customWidth="1"/>
    <col min="11" max="11" width="14.28515625" bestFit="1" customWidth="1"/>
  </cols>
  <sheetData>
    <row r="4" spans="4:11" ht="15.75" customHeight="1" x14ac:dyDescent="0.25">
      <c r="D4" s="45" t="s">
        <v>73</v>
      </c>
      <c r="E4" s="45"/>
      <c r="F4" s="45"/>
      <c r="G4" s="45"/>
      <c r="H4" s="45"/>
      <c r="I4" s="45"/>
      <c r="J4" s="45"/>
      <c r="K4" s="45"/>
    </row>
    <row r="5" spans="4:11" ht="45" x14ac:dyDescent="0.25">
      <c r="D5" s="27" t="s">
        <v>41</v>
      </c>
      <c r="E5" s="27" t="s">
        <v>42</v>
      </c>
      <c r="F5" s="27" t="s">
        <v>43</v>
      </c>
      <c r="G5" s="27" t="s">
        <v>44</v>
      </c>
      <c r="H5" s="27" t="s">
        <v>45</v>
      </c>
      <c r="I5" s="27" t="s">
        <v>75</v>
      </c>
      <c r="J5" s="27" t="s">
        <v>76</v>
      </c>
      <c r="K5" s="27" t="s">
        <v>46</v>
      </c>
    </row>
    <row r="6" spans="4:11" ht="30" x14ac:dyDescent="0.25">
      <c r="D6" s="1">
        <v>1</v>
      </c>
      <c r="E6" s="2" t="s">
        <v>51</v>
      </c>
      <c r="F6" s="1">
        <v>2017</v>
      </c>
      <c r="G6" s="1" t="s">
        <v>50</v>
      </c>
      <c r="H6" s="1" t="s">
        <v>49</v>
      </c>
      <c r="I6" s="31">
        <v>29285</v>
      </c>
      <c r="J6" s="32">
        <v>6000</v>
      </c>
      <c r="K6" s="29">
        <f>J6*I6</f>
        <v>175710000</v>
      </c>
    </row>
    <row r="7" spans="4:11" x14ac:dyDescent="0.25">
      <c r="D7" s="55" t="s">
        <v>12</v>
      </c>
      <c r="E7" s="55"/>
      <c r="F7" s="55"/>
      <c r="G7" s="55"/>
      <c r="H7" s="55"/>
      <c r="I7" s="55"/>
      <c r="J7" s="55"/>
      <c r="K7" s="30">
        <f>SUM(K6)</f>
        <v>175710000</v>
      </c>
    </row>
  </sheetData>
  <mergeCells count="2">
    <mergeCell ref="D4:K4"/>
    <mergeCell ref="D7:J7"/>
  </mergeCells>
  <dataValidations count="1">
    <dataValidation type="list" allowBlank="1" showInputMessage="1" showErrorMessage="1" sqref="H6" xr:uid="{E99645E5-3E6A-4548-B3F5-E3EC234DD919}">
      <formula1>"Very Good, Good, Average, Poor, Ordinary with wreckages in the structure"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A382-6F4F-411E-AB7C-0A5702DEA14A}">
  <dimension ref="B4:I7"/>
  <sheetViews>
    <sheetView workbookViewId="0">
      <selection activeCell="H13" sqref="H13"/>
    </sheetView>
  </sheetViews>
  <sheetFormatPr defaultRowHeight="15" x14ac:dyDescent="0.25"/>
  <cols>
    <col min="2" max="2" width="6.42578125" customWidth="1"/>
    <col min="3" max="3" width="15.28515625" customWidth="1"/>
    <col min="4" max="4" width="13.140625" customWidth="1"/>
    <col min="5" max="5" width="20" bestFit="1" customWidth="1"/>
    <col min="9" max="9" width="14.28515625" bestFit="1" customWidth="1"/>
  </cols>
  <sheetData>
    <row r="4" spans="2:9" ht="15.75" customHeight="1" x14ac:dyDescent="0.25">
      <c r="B4" s="45" t="s">
        <v>72</v>
      </c>
      <c r="C4" s="45"/>
      <c r="D4" s="45"/>
      <c r="E4" s="45"/>
      <c r="F4" s="45"/>
      <c r="G4" s="45"/>
      <c r="H4" s="45"/>
      <c r="I4" s="45"/>
    </row>
    <row r="5" spans="2:9" ht="45" x14ac:dyDescent="0.25">
      <c r="B5" s="27" t="s">
        <v>41</v>
      </c>
      <c r="C5" s="27" t="s">
        <v>42</v>
      </c>
      <c r="D5" s="27" t="s">
        <v>43</v>
      </c>
      <c r="E5" s="27" t="s">
        <v>44</v>
      </c>
      <c r="F5" s="27" t="s">
        <v>45</v>
      </c>
      <c r="G5" s="27" t="s">
        <v>78</v>
      </c>
      <c r="H5" s="27" t="s">
        <v>76</v>
      </c>
      <c r="I5" s="27" t="s">
        <v>46</v>
      </c>
    </row>
    <row r="6" spans="2:9" x14ac:dyDescent="0.25">
      <c r="B6" s="1">
        <v>1</v>
      </c>
      <c r="C6" s="2" t="s">
        <v>52</v>
      </c>
      <c r="D6" s="1">
        <v>2017</v>
      </c>
      <c r="E6" s="1" t="s">
        <v>53</v>
      </c>
      <c r="F6" s="1" t="s">
        <v>49</v>
      </c>
      <c r="G6" s="31">
        <v>90000</v>
      </c>
      <c r="H6" s="32">
        <v>1700</v>
      </c>
      <c r="I6" s="29">
        <f>H6*G6</f>
        <v>153000000</v>
      </c>
    </row>
    <row r="7" spans="2:9" x14ac:dyDescent="0.25">
      <c r="B7" s="55" t="s">
        <v>12</v>
      </c>
      <c r="C7" s="55"/>
      <c r="D7" s="55"/>
      <c r="E7" s="55"/>
      <c r="F7" s="55"/>
      <c r="G7" s="55"/>
      <c r="H7" s="55"/>
      <c r="I7" s="30">
        <f>SUM(I6)</f>
        <v>153000000</v>
      </c>
    </row>
  </sheetData>
  <mergeCells count="2">
    <mergeCell ref="B4:I4"/>
    <mergeCell ref="B7:H7"/>
  </mergeCells>
  <dataValidations count="1">
    <dataValidation type="list" allowBlank="1" showInputMessage="1" showErrorMessage="1" sqref="F6" xr:uid="{41ECB29C-AB09-4C46-B589-6A9E35EEC902}">
      <formula1>"Very Good, Good, Average, Poor, Ordinary with wreckages in the structure"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059E-7EAB-4A2B-B968-9EA24B87E26B}">
  <sheetPr>
    <tabColor theme="9" tint="0.59999389629810485"/>
  </sheetPr>
  <dimension ref="D4:N15"/>
  <sheetViews>
    <sheetView workbookViewId="0">
      <selection activeCell="I24" sqref="I24"/>
    </sheetView>
  </sheetViews>
  <sheetFormatPr defaultRowHeight="15" x14ac:dyDescent="0.25"/>
  <cols>
    <col min="3" max="3" width="10" customWidth="1"/>
    <col min="4" max="4" width="5.85546875" customWidth="1"/>
    <col min="5" max="5" width="10.7109375" customWidth="1"/>
    <col min="6" max="6" width="17.85546875" customWidth="1"/>
    <col min="7" max="7" width="14.7109375" customWidth="1"/>
    <col min="8" max="8" width="14.85546875" customWidth="1"/>
    <col min="9" max="9" width="16.7109375" customWidth="1"/>
    <col min="10" max="10" width="18" customWidth="1"/>
    <col min="14" max="14" width="18.5703125" bestFit="1" customWidth="1"/>
  </cols>
  <sheetData>
    <row r="4" spans="4:14" ht="15.75" x14ac:dyDescent="0.25">
      <c r="D4" s="45" t="s">
        <v>65</v>
      </c>
      <c r="E4" s="45"/>
      <c r="F4" s="45"/>
      <c r="G4" s="45"/>
      <c r="H4" s="45"/>
      <c r="I4" s="45"/>
      <c r="J4" s="45"/>
    </row>
    <row r="5" spans="4:14" ht="66" customHeight="1" x14ac:dyDescent="0.25">
      <c r="D5" s="33" t="s">
        <v>54</v>
      </c>
      <c r="E5" s="33" t="s">
        <v>30</v>
      </c>
      <c r="F5" s="33" t="s">
        <v>79</v>
      </c>
      <c r="G5" s="33" t="s">
        <v>55</v>
      </c>
      <c r="H5" s="33" t="s">
        <v>56</v>
      </c>
      <c r="I5" s="33" t="s">
        <v>57</v>
      </c>
      <c r="J5" s="33" t="s">
        <v>58</v>
      </c>
    </row>
    <row r="6" spans="4:14" x14ac:dyDescent="0.25">
      <c r="D6" s="1">
        <v>1</v>
      </c>
      <c r="E6" s="34" t="s">
        <v>63</v>
      </c>
      <c r="F6" s="29">
        <f>Building_Working!U14</f>
        <v>25764398.125</v>
      </c>
      <c r="G6" s="29">
        <f>Road!I7</f>
        <v>153000000</v>
      </c>
      <c r="H6" s="29">
        <f>Rainwater_drains!K7</f>
        <v>175710000</v>
      </c>
      <c r="I6" s="29">
        <f>Boundary_Fencing!J7</f>
        <v>4092800</v>
      </c>
      <c r="J6" s="29">
        <f>I6+H6+G6+F6</f>
        <v>358567198.125</v>
      </c>
    </row>
    <row r="7" spans="4:14" ht="15.75" x14ac:dyDescent="0.25">
      <c r="D7" s="56" t="s">
        <v>59</v>
      </c>
      <c r="E7" s="57"/>
      <c r="F7" s="57"/>
      <c r="G7" s="57"/>
      <c r="H7" s="57"/>
      <c r="I7" s="58"/>
      <c r="J7" s="35">
        <f>J6</f>
        <v>358567198.125</v>
      </c>
    </row>
    <row r="8" spans="4:14" ht="15.75" x14ac:dyDescent="0.25">
      <c r="D8" s="47" t="s">
        <v>60</v>
      </c>
      <c r="E8" s="47"/>
      <c r="F8" s="47"/>
      <c r="G8" s="47"/>
      <c r="H8" s="47"/>
      <c r="I8" s="47"/>
      <c r="J8" s="47"/>
      <c r="M8" s="45" t="s">
        <v>83</v>
      </c>
      <c r="N8" s="45"/>
    </row>
    <row r="9" spans="4:14" ht="27.75" customHeight="1" x14ac:dyDescent="0.25">
      <c r="D9" s="48" t="s">
        <v>61</v>
      </c>
      <c r="E9" s="48"/>
      <c r="F9" s="48"/>
      <c r="G9" s="48"/>
      <c r="H9" s="48"/>
      <c r="I9" s="48"/>
      <c r="J9" s="48"/>
      <c r="M9" s="42" t="s">
        <v>80</v>
      </c>
      <c r="N9" s="28">
        <f>569*1500000</f>
        <v>853500000</v>
      </c>
    </row>
    <row r="10" spans="4:14" x14ac:dyDescent="0.25">
      <c r="D10" s="48" t="s">
        <v>62</v>
      </c>
      <c r="E10" s="48"/>
      <c r="F10" s="48"/>
      <c r="G10" s="48"/>
      <c r="H10" s="48"/>
      <c r="I10" s="48"/>
      <c r="J10" s="48"/>
      <c r="M10" s="42" t="s">
        <v>81</v>
      </c>
      <c r="N10" s="29">
        <f>J7</f>
        <v>358567198.125</v>
      </c>
    </row>
    <row r="11" spans="4:14" x14ac:dyDescent="0.25">
      <c r="M11" s="42" t="s">
        <v>82</v>
      </c>
      <c r="N11" s="28">
        <v>4500000000</v>
      </c>
    </row>
    <row r="12" spans="4:14" x14ac:dyDescent="0.25">
      <c r="M12" s="42" t="s">
        <v>59</v>
      </c>
      <c r="N12" s="30">
        <f>SUM(N9:N11)</f>
        <v>5712067198.125</v>
      </c>
    </row>
    <row r="15" spans="4:14" x14ac:dyDescent="0.25">
      <c r="G15" s="11">
        <f>G6+H6+I6</f>
        <v>332802800</v>
      </c>
    </row>
  </sheetData>
  <mergeCells count="6">
    <mergeCell ref="D10:J10"/>
    <mergeCell ref="M8:N8"/>
    <mergeCell ref="D4:J4"/>
    <mergeCell ref="D7:I7"/>
    <mergeCell ref="D8:J8"/>
    <mergeCell ref="D9: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3474-E6E3-45E8-8DCA-3CF042272B43}">
  <dimension ref="F5:H10"/>
  <sheetViews>
    <sheetView tabSelected="1" workbookViewId="0">
      <selection activeCell="L18" sqref="L18"/>
    </sheetView>
  </sheetViews>
  <sheetFormatPr defaultRowHeight="15" x14ac:dyDescent="0.25"/>
  <cols>
    <col min="6" max="6" width="10.42578125" bestFit="1" customWidth="1"/>
    <col min="7" max="7" width="18.85546875" bestFit="1" customWidth="1"/>
    <col min="8" max="8" width="19.28515625" customWidth="1"/>
  </cols>
  <sheetData>
    <row r="5" spans="6:8" x14ac:dyDescent="0.25">
      <c r="F5" s="63" t="s">
        <v>30</v>
      </c>
      <c r="G5" s="63" t="s">
        <v>85</v>
      </c>
      <c r="H5" s="63" t="s">
        <v>86</v>
      </c>
    </row>
    <row r="6" spans="6:8" x14ac:dyDescent="0.25">
      <c r="F6" s="43" t="s">
        <v>80</v>
      </c>
      <c r="G6" s="59">
        <f>1138100000/10^7</f>
        <v>113.81</v>
      </c>
      <c r="H6" s="64">
        <v>43.58</v>
      </c>
    </row>
    <row r="7" spans="6:8" x14ac:dyDescent="0.25">
      <c r="F7" s="43" t="s">
        <v>81</v>
      </c>
      <c r="G7" s="59">
        <f>358567198/10^7</f>
        <v>35.8567198</v>
      </c>
      <c r="H7" s="64">
        <v>47.36</v>
      </c>
    </row>
    <row r="8" spans="6:8" x14ac:dyDescent="0.25">
      <c r="F8" s="43" t="s">
        <v>82</v>
      </c>
      <c r="G8" s="59">
        <f>3913881211/10^7</f>
        <v>391.38812109999998</v>
      </c>
      <c r="H8" s="64">
        <v>558.14</v>
      </c>
    </row>
    <row r="9" spans="6:8" x14ac:dyDescent="0.25">
      <c r="F9" s="43" t="s">
        <v>59</v>
      </c>
      <c r="G9" s="60">
        <f>SUM(G6:G8)</f>
        <v>541.05484090000004</v>
      </c>
      <c r="H9" s="65">
        <f>SUM(H6:H8)</f>
        <v>649.07999999999993</v>
      </c>
    </row>
    <row r="10" spans="6:8" x14ac:dyDescent="0.25">
      <c r="F10" s="61" t="s">
        <v>84</v>
      </c>
      <c r="G10" s="62">
        <f>H9-G9</f>
        <v>108.02515909999988</v>
      </c>
      <c r="H10" s="55"/>
    </row>
  </sheetData>
  <mergeCells count="1">
    <mergeCell ref="G10:H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Building_Working</vt:lpstr>
      <vt:lpstr>Boundary_Fencing</vt:lpstr>
      <vt:lpstr>Rainwater_drains</vt:lpstr>
      <vt:lpstr>Road</vt:lpstr>
      <vt:lpstr>Summary</vt:lpstr>
      <vt:lpstr>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Babul</dc:creator>
  <cp:lastModifiedBy>Arup Banerjee</cp:lastModifiedBy>
  <dcterms:created xsi:type="dcterms:W3CDTF">2022-11-04T05:05:51Z</dcterms:created>
  <dcterms:modified xsi:type="dcterms:W3CDTF">2022-11-25T07:14:02Z</dcterms:modified>
</cp:coreProperties>
</file>