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 activeTab="1"/>
  </bookViews>
  <sheets>
    <sheet name="Sheet1" sheetId="4" r:id="rId1"/>
    <sheet name="Land Area" sheetId="1" r:id="rId2"/>
    <sheet name="As per Land Acquisition" sheetId="5" r:id="rId3"/>
    <sheet name="Final Summary" sheetId="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U6" i="5" l="1"/>
  <c r="P7" i="5"/>
  <c r="P8" i="5"/>
  <c r="P9" i="5"/>
  <c r="P6" i="5"/>
  <c r="M7" i="5"/>
  <c r="M8" i="5"/>
  <c r="M9" i="5"/>
  <c r="M6" i="5"/>
  <c r="L7" i="5"/>
  <c r="L8" i="5"/>
  <c r="L9" i="5"/>
  <c r="L6" i="5"/>
  <c r="G9" i="5"/>
  <c r="G8" i="5"/>
  <c r="G7" i="5"/>
  <c r="G6" i="5"/>
  <c r="H10" i="6" l="1"/>
  <c r="F10" i="6"/>
  <c r="D10" i="6"/>
  <c r="M9" i="6"/>
  <c r="N9" i="6" s="1"/>
  <c r="J9" i="6"/>
  <c r="I9" i="6"/>
  <c r="G9" i="6"/>
  <c r="E9" i="6"/>
  <c r="K9" i="6" s="1"/>
  <c r="J8" i="6"/>
  <c r="M8" i="6" s="1"/>
  <c r="N8" i="6" s="1"/>
  <c r="I8" i="6"/>
  <c r="G8" i="6"/>
  <c r="E8" i="6"/>
  <c r="K8" i="6" s="1"/>
  <c r="J7" i="6"/>
  <c r="M7" i="6" s="1"/>
  <c r="N7" i="6" s="1"/>
  <c r="I7" i="6"/>
  <c r="G7" i="6"/>
  <c r="E7" i="6"/>
  <c r="K7" i="6" s="1"/>
  <c r="J6" i="6"/>
  <c r="M6" i="6" s="1"/>
  <c r="I6" i="6"/>
  <c r="I10" i="6" s="1"/>
  <c r="G6" i="6"/>
  <c r="G10" i="6" s="1"/>
  <c r="E6" i="6"/>
  <c r="K6" i="6" s="1"/>
  <c r="K10" i="6" s="1"/>
  <c r="M10" i="6" l="1"/>
  <c r="N6" i="6"/>
  <c r="N10" i="6" s="1"/>
  <c r="E10" i="6"/>
  <c r="J10" i="6"/>
  <c r="P6" i="6" l="1"/>
  <c r="P10" i="6" s="1"/>
  <c r="N10" i="5" l="1"/>
  <c r="J10" i="5"/>
  <c r="H10" i="5"/>
  <c r="K9" i="5"/>
  <c r="I9" i="5"/>
  <c r="K8" i="5"/>
  <c r="I8" i="5"/>
  <c r="K7" i="5"/>
  <c r="I7" i="5"/>
  <c r="K6" i="5"/>
  <c r="I6" i="5"/>
  <c r="I10" i="5" s="1"/>
  <c r="K10" i="5" l="1"/>
  <c r="L10" i="5"/>
  <c r="Q8" i="5"/>
  <c r="R8" i="5" s="1"/>
  <c r="Q7" i="5"/>
  <c r="R7" i="5" s="1"/>
  <c r="S7" i="5" l="1"/>
  <c r="T7" i="5" s="1"/>
  <c r="U7" i="5" s="1"/>
  <c r="S8" i="5"/>
  <c r="T8" i="5" s="1"/>
  <c r="U8" i="5" s="1"/>
  <c r="M10" i="5"/>
  <c r="Q9" i="5"/>
  <c r="Q6" i="5"/>
  <c r="R6" i="5" s="1"/>
  <c r="P10" i="5"/>
  <c r="P12" i="5" s="1"/>
  <c r="AA87" i="4"/>
  <c r="AA85" i="4"/>
  <c r="Q80" i="4"/>
  <c r="G72" i="4"/>
  <c r="F72" i="4"/>
  <c r="G71" i="4"/>
  <c r="F71" i="4"/>
  <c r="U61" i="4"/>
  <c r="F60" i="4"/>
  <c r="F59" i="4"/>
  <c r="AF55" i="4"/>
  <c r="J55" i="4"/>
  <c r="N49" i="4"/>
  <c r="M49" i="4"/>
  <c r="L49" i="4"/>
  <c r="AE47" i="4"/>
  <c r="AC47" i="4"/>
  <c r="AB47" i="4"/>
  <c r="Y47" i="4"/>
  <c r="V47" i="4"/>
  <c r="S47" i="4"/>
  <c r="R47" i="4"/>
  <c r="H47" i="4"/>
  <c r="G47" i="4"/>
  <c r="G49" i="4" s="1"/>
  <c r="F47" i="4"/>
  <c r="AF46" i="4"/>
  <c r="AE46" i="4"/>
  <c r="AB46" i="4"/>
  <c r="Y46" i="4"/>
  <c r="V46" i="4"/>
  <c r="T46" i="4"/>
  <c r="S46" i="4"/>
  <c r="P46" i="4"/>
  <c r="Q46" i="4" s="1"/>
  <c r="F46" i="4"/>
  <c r="W46" i="4" s="1"/>
  <c r="AE41" i="4"/>
  <c r="AC41" i="4"/>
  <c r="AB41" i="4"/>
  <c r="Y41" i="4"/>
  <c r="F41" i="4"/>
  <c r="AF41" i="4" s="1"/>
  <c r="AE40" i="4"/>
  <c r="AB40" i="4"/>
  <c r="Y40" i="4"/>
  <c r="W40" i="4"/>
  <c r="X40" i="4" s="1"/>
  <c r="V40" i="4"/>
  <c r="F40" i="4"/>
  <c r="Z40" i="4" s="1"/>
  <c r="AA40" i="4" s="1"/>
  <c r="AF39" i="4"/>
  <c r="AE39" i="4"/>
  <c r="AB39" i="4"/>
  <c r="Y39" i="4"/>
  <c r="V39" i="4"/>
  <c r="T39" i="4"/>
  <c r="U39" i="4" s="1"/>
  <c r="X39" i="4" s="1"/>
  <c r="S39" i="4"/>
  <c r="H39" i="4"/>
  <c r="W39" i="4" s="1"/>
  <c r="F39" i="4"/>
  <c r="AE38" i="4"/>
  <c r="AC38" i="4"/>
  <c r="AB38" i="4"/>
  <c r="Y38" i="4"/>
  <c r="W38" i="4"/>
  <c r="V38" i="4"/>
  <c r="S38" i="4"/>
  <c r="H38" i="4"/>
  <c r="AF38" i="4" s="1"/>
  <c r="G38" i="4"/>
  <c r="G44" i="4" s="1"/>
  <c r="F38" i="4"/>
  <c r="AE37" i="4"/>
  <c r="AB37" i="4"/>
  <c r="Y37" i="4"/>
  <c r="V37" i="4"/>
  <c r="S37" i="4"/>
  <c r="P37" i="4"/>
  <c r="H37" i="4"/>
  <c r="F37" i="4"/>
  <c r="AE36" i="4"/>
  <c r="AB36" i="4"/>
  <c r="Y36" i="4"/>
  <c r="V36" i="4"/>
  <c r="S36" i="4"/>
  <c r="P36" i="4"/>
  <c r="H36" i="4"/>
  <c r="F36" i="4"/>
  <c r="AE35" i="4"/>
  <c r="AB35" i="4"/>
  <c r="Y35" i="4"/>
  <c r="W35" i="4"/>
  <c r="V35" i="4"/>
  <c r="S35" i="4"/>
  <c r="P35" i="4"/>
  <c r="K35" i="4"/>
  <c r="H35" i="4"/>
  <c r="Z35" i="4" s="1"/>
  <c r="F35" i="4"/>
  <c r="AC35" i="4" s="1"/>
  <c r="AF34" i="4"/>
  <c r="AE34" i="4"/>
  <c r="AB34" i="4"/>
  <c r="Y34" i="4"/>
  <c r="V34" i="4"/>
  <c r="T34" i="4"/>
  <c r="S34" i="4"/>
  <c r="P34" i="4"/>
  <c r="L34" i="4"/>
  <c r="M34" i="4" s="1"/>
  <c r="K34" i="4"/>
  <c r="F34" i="4"/>
  <c r="W34" i="4" s="1"/>
  <c r="AF33" i="4"/>
  <c r="AE33" i="4"/>
  <c r="AB33" i="4"/>
  <c r="Y33" i="4"/>
  <c r="V33" i="4"/>
  <c r="T33" i="4"/>
  <c r="S33" i="4"/>
  <c r="P33" i="4"/>
  <c r="L33" i="4"/>
  <c r="M33" i="4" s="1"/>
  <c r="K33" i="4"/>
  <c r="F33" i="4"/>
  <c r="W33" i="4" s="1"/>
  <c r="AF32" i="4"/>
  <c r="AE32" i="4"/>
  <c r="AB32" i="4"/>
  <c r="Y32" i="4"/>
  <c r="V32" i="4"/>
  <c r="T32" i="4"/>
  <c r="S32" i="4"/>
  <c r="P32" i="4"/>
  <c r="L32" i="4"/>
  <c r="M32" i="4" s="1"/>
  <c r="K32" i="4"/>
  <c r="F32" i="4"/>
  <c r="W32" i="4" s="1"/>
  <c r="AF31" i="4"/>
  <c r="AE31" i="4"/>
  <c r="AB31" i="4"/>
  <c r="Y31" i="4"/>
  <c r="V31" i="4"/>
  <c r="T31" i="4"/>
  <c r="S31" i="4"/>
  <c r="P31" i="4"/>
  <c r="L31" i="4"/>
  <c r="M31" i="4" s="1"/>
  <c r="K31" i="4"/>
  <c r="F31" i="4"/>
  <c r="W31" i="4" s="1"/>
  <c r="AE30" i="4"/>
  <c r="AB30" i="4"/>
  <c r="Y30" i="4"/>
  <c r="V30" i="4"/>
  <c r="S30" i="4"/>
  <c r="P30" i="4"/>
  <c r="L30" i="4"/>
  <c r="M30" i="4" s="1"/>
  <c r="K30" i="4"/>
  <c r="F30" i="4"/>
  <c r="AF30" i="4" s="1"/>
  <c r="AE29" i="4"/>
  <c r="AB29" i="4"/>
  <c r="Y29" i="4"/>
  <c r="V29" i="4"/>
  <c r="S29" i="4"/>
  <c r="P29" i="4"/>
  <c r="L29" i="4"/>
  <c r="M29" i="4" s="1"/>
  <c r="K29" i="4"/>
  <c r="F29" i="4"/>
  <c r="AF29" i="4" s="1"/>
  <c r="AE28" i="4"/>
  <c r="AB28" i="4"/>
  <c r="Y28" i="4"/>
  <c r="V28" i="4"/>
  <c r="S28" i="4"/>
  <c r="P28" i="4"/>
  <c r="K28" i="4"/>
  <c r="I28" i="4"/>
  <c r="H28" i="4"/>
  <c r="L28" i="4" s="1"/>
  <c r="F28" i="4"/>
  <c r="AE27" i="4"/>
  <c r="AC27" i="4"/>
  <c r="AB27" i="4"/>
  <c r="Y27" i="4"/>
  <c r="W27" i="4"/>
  <c r="V27" i="4"/>
  <c r="S27" i="4"/>
  <c r="Q27" i="4"/>
  <c r="P27" i="4"/>
  <c r="K27" i="4"/>
  <c r="I27" i="4"/>
  <c r="F27" i="4"/>
  <c r="AE26" i="4"/>
  <c r="AC26" i="4"/>
  <c r="AB26" i="4"/>
  <c r="Y26" i="4"/>
  <c r="W26" i="4"/>
  <c r="V26" i="4"/>
  <c r="S26" i="4"/>
  <c r="Q26" i="4"/>
  <c r="P26" i="4"/>
  <c r="K26" i="4"/>
  <c r="I26" i="4"/>
  <c r="F26" i="4"/>
  <c r="AE22" i="4"/>
  <c r="AC22" i="4"/>
  <c r="AB22" i="4"/>
  <c r="Y22" i="4"/>
  <c r="W22" i="4"/>
  <c r="V22" i="4"/>
  <c r="S22" i="4"/>
  <c r="H22" i="4"/>
  <c r="Z22" i="4" s="1"/>
  <c r="G22" i="4"/>
  <c r="F22" i="4"/>
  <c r="AE21" i="4"/>
  <c r="AC21" i="4"/>
  <c r="AB21" i="4"/>
  <c r="Y21" i="4"/>
  <c r="W21" i="4"/>
  <c r="V21" i="4"/>
  <c r="S21" i="4"/>
  <c r="H21" i="4"/>
  <c r="AF21" i="4" s="1"/>
  <c r="G21" i="4"/>
  <c r="F21" i="4"/>
  <c r="AE20" i="4"/>
  <c r="AC20" i="4"/>
  <c r="AB20" i="4"/>
  <c r="Y20" i="4"/>
  <c r="W20" i="4"/>
  <c r="V20" i="4"/>
  <c r="S20" i="4"/>
  <c r="Q20" i="4"/>
  <c r="P20" i="4"/>
  <c r="K20" i="4"/>
  <c r="I20" i="4"/>
  <c r="F20" i="4"/>
  <c r="Z20" i="4" s="1"/>
  <c r="AE19" i="4"/>
  <c r="AC19" i="4"/>
  <c r="AB19" i="4"/>
  <c r="Y19" i="4"/>
  <c r="V19" i="4"/>
  <c r="S19" i="4"/>
  <c r="Q19" i="4"/>
  <c r="P19" i="4"/>
  <c r="K19" i="4"/>
  <c r="I19" i="4"/>
  <c r="H19" i="4"/>
  <c r="AF19" i="4" s="1"/>
  <c r="F19" i="4"/>
  <c r="W19" i="4" s="1"/>
  <c r="AE18" i="4"/>
  <c r="AB18" i="4"/>
  <c r="Y18" i="4"/>
  <c r="V18" i="4"/>
  <c r="S18" i="4"/>
  <c r="P18" i="4"/>
  <c r="K18" i="4"/>
  <c r="I18" i="4"/>
  <c r="H18" i="4"/>
  <c r="L18" i="4" s="1"/>
  <c r="G18" i="4"/>
  <c r="G24" i="4" s="1"/>
  <c r="F18" i="4"/>
  <c r="H17" i="4"/>
  <c r="G15" i="4"/>
  <c r="AE13" i="4"/>
  <c r="AC13" i="4"/>
  <c r="AB13" i="4"/>
  <c r="Y13" i="4"/>
  <c r="W13" i="4"/>
  <c r="V13" i="4"/>
  <c r="S13" i="4"/>
  <c r="Q13" i="4"/>
  <c r="P13" i="4"/>
  <c r="K13" i="4"/>
  <c r="I13" i="4"/>
  <c r="F13" i="4"/>
  <c r="Z13" i="4" s="1"/>
  <c r="AE12" i="4"/>
  <c r="AC12" i="4"/>
  <c r="AB12" i="4"/>
  <c r="Y12" i="4"/>
  <c r="W12" i="4"/>
  <c r="V12" i="4"/>
  <c r="S12" i="4"/>
  <c r="Q12" i="4"/>
  <c r="P12" i="4"/>
  <c r="K12" i="4"/>
  <c r="I12" i="4"/>
  <c r="J12" i="4" s="1"/>
  <c r="F12" i="4"/>
  <c r="AF12" i="4" s="1"/>
  <c r="AE11" i="4"/>
  <c r="AB11" i="4"/>
  <c r="Y11" i="4"/>
  <c r="W11" i="4"/>
  <c r="V11" i="4"/>
  <c r="S11" i="4"/>
  <c r="P11" i="4"/>
  <c r="K11" i="4"/>
  <c r="H11" i="4"/>
  <c r="Z11" i="4" s="1"/>
  <c r="F11" i="4"/>
  <c r="AC11" i="4" s="1"/>
  <c r="AE10" i="4"/>
  <c r="AB10" i="4"/>
  <c r="Y10" i="4"/>
  <c r="V10" i="4"/>
  <c r="S10" i="4"/>
  <c r="P10" i="4"/>
  <c r="K10" i="4"/>
  <c r="H10" i="4"/>
  <c r="F10" i="4"/>
  <c r="AE9" i="4"/>
  <c r="AC9" i="4"/>
  <c r="AB9" i="4"/>
  <c r="Y9" i="4"/>
  <c r="W9" i="4"/>
  <c r="V9" i="4"/>
  <c r="S9" i="4"/>
  <c r="Q9" i="4"/>
  <c r="P9" i="4"/>
  <c r="K9" i="4"/>
  <c r="I9" i="4"/>
  <c r="H9" i="4"/>
  <c r="AF9" i="4" s="1"/>
  <c r="F9" i="4"/>
  <c r="AF8" i="4"/>
  <c r="AE8" i="4"/>
  <c r="AB8" i="4"/>
  <c r="Z8" i="4"/>
  <c r="Y8" i="4"/>
  <c r="V8" i="4"/>
  <c r="T8" i="4"/>
  <c r="S8" i="4"/>
  <c r="P8" i="4"/>
  <c r="N8" i="4"/>
  <c r="K8" i="4"/>
  <c r="I8" i="4"/>
  <c r="F8" i="4"/>
  <c r="J8" i="4" s="1"/>
  <c r="R9" i="5" l="1"/>
  <c r="S9" i="5"/>
  <c r="T9" i="5" s="1"/>
  <c r="U9" i="5" s="1"/>
  <c r="S6" i="5"/>
  <c r="T6" i="5" s="1"/>
  <c r="J15" i="4"/>
  <c r="W10" i="4"/>
  <c r="Z10" i="4"/>
  <c r="AC10" i="4"/>
  <c r="Q10" i="4"/>
  <c r="N9" i="4"/>
  <c r="N15" i="4" s="1"/>
  <c r="J9" i="4"/>
  <c r="T18" i="4"/>
  <c r="AF22" i="4"/>
  <c r="L10" i="4"/>
  <c r="M10" i="4" s="1"/>
  <c r="T10" i="4"/>
  <c r="W8" i="4"/>
  <c r="AC8" i="4"/>
  <c r="Q8" i="4"/>
  <c r="L8" i="4"/>
  <c r="N10" i="4"/>
  <c r="H15" i="4"/>
  <c r="H53" i="4" s="1"/>
  <c r="W18" i="4"/>
  <c r="W24" i="4" s="1"/>
  <c r="Z18" i="4"/>
  <c r="N18" i="4"/>
  <c r="J18" i="4"/>
  <c r="AC18" i="4"/>
  <c r="AC24" i="4" s="1"/>
  <c r="Q18" i="4"/>
  <c r="Q24" i="4" s="1"/>
  <c r="AF18" i="4"/>
  <c r="AF15" i="4"/>
  <c r="AF10" i="4"/>
  <c r="H24" i="4"/>
  <c r="W28" i="4"/>
  <c r="W44" i="4" s="1"/>
  <c r="H44" i="4"/>
  <c r="AC28" i="4"/>
  <c r="Q28" i="4"/>
  <c r="Q44" i="4" s="1"/>
  <c r="J28" i="4"/>
  <c r="M28" i="4" s="1"/>
  <c r="AF28" i="4"/>
  <c r="Z28" i="4"/>
  <c r="T28" i="4"/>
  <c r="N28" i="4"/>
  <c r="O33" i="4"/>
  <c r="Z9" i="4"/>
  <c r="Z15" i="4" s="1"/>
  <c r="L11" i="4"/>
  <c r="M11" i="4" s="1"/>
  <c r="T11" i="4"/>
  <c r="T15" i="4" s="1"/>
  <c r="AF11" i="4"/>
  <c r="N12" i="4"/>
  <c r="Z12" i="4"/>
  <c r="L13" i="4"/>
  <c r="T13" i="4"/>
  <c r="AF13" i="4"/>
  <c r="J19" i="4"/>
  <c r="N19" i="4"/>
  <c r="Z19" i="4"/>
  <c r="L20" i="4"/>
  <c r="T20" i="4"/>
  <c r="AF20" i="4"/>
  <c r="Z21" i="4"/>
  <c r="T22" i="4"/>
  <c r="U22" i="4" s="1"/>
  <c r="X22" i="4" s="1"/>
  <c r="AA22" i="4" s="1"/>
  <c r="AD22" i="4" s="1"/>
  <c r="AG22" i="4" s="1"/>
  <c r="AF26" i="4"/>
  <c r="L26" i="4"/>
  <c r="T26" i="4"/>
  <c r="N29" i="4"/>
  <c r="O29" i="4" s="1"/>
  <c r="T29" i="4"/>
  <c r="Z29" i="4"/>
  <c r="N30" i="4"/>
  <c r="O30" i="4" s="1"/>
  <c r="T30" i="4"/>
  <c r="Z30" i="4"/>
  <c r="Z37" i="4"/>
  <c r="AC37" i="4"/>
  <c r="Q37" i="4"/>
  <c r="R37" i="4" s="1"/>
  <c r="U37" i="4" s="1"/>
  <c r="X37" i="4" s="1"/>
  <c r="AF37" i="4"/>
  <c r="T37" i="4"/>
  <c r="W37" i="4"/>
  <c r="AF47" i="4"/>
  <c r="AF49" i="4" s="1"/>
  <c r="T47" i="4"/>
  <c r="U47" i="4" s="1"/>
  <c r="H49" i="4"/>
  <c r="W47" i="4"/>
  <c r="W49" i="4" s="1"/>
  <c r="Z47" i="4"/>
  <c r="Q11" i="4"/>
  <c r="Z27" i="4"/>
  <c r="N27" i="4"/>
  <c r="J27" i="4"/>
  <c r="M27" i="4" s="1"/>
  <c r="AF27" i="4"/>
  <c r="T27" i="4"/>
  <c r="L27" i="4"/>
  <c r="W29" i="4"/>
  <c r="AC29" i="4"/>
  <c r="AC44" i="4" s="1"/>
  <c r="Q29" i="4"/>
  <c r="R29" i="4" s="1"/>
  <c r="U29" i="4" s="1"/>
  <c r="X29" i="4" s="1"/>
  <c r="AA29" i="4" s="1"/>
  <c r="AD29" i="4" s="1"/>
  <c r="AG29" i="4" s="1"/>
  <c r="W30" i="4"/>
  <c r="AC30" i="4"/>
  <c r="Q30" i="4"/>
  <c r="R30" i="4" s="1"/>
  <c r="U30" i="4" s="1"/>
  <c r="X30" i="4" s="1"/>
  <c r="AA30" i="4" s="1"/>
  <c r="AD30" i="4" s="1"/>
  <c r="AG30" i="4" s="1"/>
  <c r="Q49" i="4"/>
  <c r="R46" i="4"/>
  <c r="L9" i="4"/>
  <c r="T9" i="4"/>
  <c r="N11" i="4"/>
  <c r="L12" i="4"/>
  <c r="M12" i="4" s="1"/>
  <c r="T12" i="4"/>
  <c r="J13" i="4"/>
  <c r="N13" i="4"/>
  <c r="L19" i="4"/>
  <c r="L24" i="4" s="1"/>
  <c r="T19" i="4"/>
  <c r="J20" i="4"/>
  <c r="M20" i="4" s="1"/>
  <c r="N20" i="4"/>
  <c r="T21" i="4"/>
  <c r="U21" i="4" s="1"/>
  <c r="X21" i="4" s="1"/>
  <c r="AA21" i="4" s="1"/>
  <c r="AD21" i="4" s="1"/>
  <c r="AG21" i="4" s="1"/>
  <c r="J26" i="4"/>
  <c r="N26" i="4"/>
  <c r="Z26" i="4"/>
  <c r="Z36" i="4"/>
  <c r="AC36" i="4"/>
  <c r="Q36" i="4"/>
  <c r="R36" i="4" s="1"/>
  <c r="U36" i="4" s="1"/>
  <c r="X36" i="4" s="1"/>
  <c r="AF36" i="4"/>
  <c r="T36" i="4"/>
  <c r="W36" i="4"/>
  <c r="G53" i="4"/>
  <c r="Q31" i="4"/>
  <c r="R31" i="4" s="1"/>
  <c r="U31" i="4" s="1"/>
  <c r="X31" i="4" s="1"/>
  <c r="AA31" i="4" s="1"/>
  <c r="AD31" i="4" s="1"/>
  <c r="AG31" i="4" s="1"/>
  <c r="AC31" i="4"/>
  <c r="Q32" i="4"/>
  <c r="R32" i="4" s="1"/>
  <c r="U32" i="4" s="1"/>
  <c r="X32" i="4" s="1"/>
  <c r="AA32" i="4" s="1"/>
  <c r="AD32" i="4" s="1"/>
  <c r="AG32" i="4" s="1"/>
  <c r="AC32" i="4"/>
  <c r="Q33" i="4"/>
  <c r="R33" i="4" s="1"/>
  <c r="U33" i="4" s="1"/>
  <c r="X33" i="4" s="1"/>
  <c r="AA33" i="4" s="1"/>
  <c r="AD33" i="4" s="1"/>
  <c r="AG33" i="4" s="1"/>
  <c r="AC33" i="4"/>
  <c r="Q34" i="4"/>
  <c r="R34" i="4" s="1"/>
  <c r="U34" i="4" s="1"/>
  <c r="X34" i="4" s="1"/>
  <c r="AA34" i="4" s="1"/>
  <c r="AD34" i="4" s="1"/>
  <c r="AG34" i="4" s="1"/>
  <c r="AC34" i="4"/>
  <c r="L35" i="4"/>
  <c r="M35" i="4" s="1"/>
  <c r="T35" i="4"/>
  <c r="AF35" i="4"/>
  <c r="Z38" i="4"/>
  <c r="AC39" i="4"/>
  <c r="AF40" i="4"/>
  <c r="Z41" i="4"/>
  <c r="AA41" i="4" s="1"/>
  <c r="AD41" i="4" s="1"/>
  <c r="AG41" i="4" s="1"/>
  <c r="AC46" i="4"/>
  <c r="AC49" i="4" s="1"/>
  <c r="N31" i="4"/>
  <c r="O31" i="4" s="1"/>
  <c r="Z31" i="4"/>
  <c r="N32" i="4"/>
  <c r="O32" i="4" s="1"/>
  <c r="Z32" i="4"/>
  <c r="N33" i="4"/>
  <c r="Z33" i="4"/>
  <c r="N34" i="4"/>
  <c r="O34" i="4" s="1"/>
  <c r="Z34" i="4"/>
  <c r="Q35" i="4"/>
  <c r="Z39" i="4"/>
  <c r="AA39" i="4" s="1"/>
  <c r="AD39" i="4" s="1"/>
  <c r="AG39" i="4" s="1"/>
  <c r="AC40" i="4"/>
  <c r="AD40" i="4" s="1"/>
  <c r="AG40" i="4" s="1"/>
  <c r="Z46" i="4"/>
  <c r="Z49" i="4" s="1"/>
  <c r="N35" i="4"/>
  <c r="T38" i="4"/>
  <c r="U38" i="4" s="1"/>
  <c r="X38" i="4" s="1"/>
  <c r="F10" i="1"/>
  <c r="H10" i="1"/>
  <c r="D10" i="1"/>
  <c r="J7" i="1"/>
  <c r="J8" i="1"/>
  <c r="J9" i="1"/>
  <c r="J6" i="1"/>
  <c r="I7" i="1"/>
  <c r="I8" i="1"/>
  <c r="I9" i="1"/>
  <c r="I6" i="1"/>
  <c r="I10" i="1" s="1"/>
  <c r="G7" i="1"/>
  <c r="G8" i="1"/>
  <c r="G9" i="1"/>
  <c r="G6" i="1"/>
  <c r="G10" i="1" s="1"/>
  <c r="E7" i="1"/>
  <c r="K7" i="1" s="1"/>
  <c r="E8" i="1"/>
  <c r="K8" i="1" s="1"/>
  <c r="E9" i="1"/>
  <c r="K9" i="1" s="1"/>
  <c r="E6" i="1"/>
  <c r="E10" i="1" s="1"/>
  <c r="J10" i="1" l="1"/>
  <c r="K6" i="1"/>
  <c r="K10" i="1" s="1"/>
  <c r="S10" i="5"/>
  <c r="S12" i="5" s="1"/>
  <c r="T10" i="5"/>
  <c r="AF53" i="4"/>
  <c r="AF56" i="4" s="1"/>
  <c r="H56" i="4"/>
  <c r="J24" i="4"/>
  <c r="J53" i="4" s="1"/>
  <c r="M18" i="4"/>
  <c r="AA36" i="4"/>
  <c r="AD36" i="4" s="1"/>
  <c r="AG36" i="4" s="1"/>
  <c r="Z44" i="4"/>
  <c r="R27" i="4"/>
  <c r="U27" i="4" s="1"/>
  <c r="X27" i="4" s="1"/>
  <c r="AA27" i="4" s="1"/>
  <c r="AD27" i="4" s="1"/>
  <c r="AG27" i="4" s="1"/>
  <c r="O27" i="4"/>
  <c r="AA37" i="4"/>
  <c r="AD37" i="4" s="1"/>
  <c r="AG37" i="4" s="1"/>
  <c r="AF44" i="4"/>
  <c r="M19" i="4"/>
  <c r="R11" i="4"/>
  <c r="U11" i="4" s="1"/>
  <c r="X11" i="4" s="1"/>
  <c r="AA11" i="4" s="1"/>
  <c r="AD11" i="4" s="1"/>
  <c r="AG11" i="4" s="1"/>
  <c r="O11" i="4"/>
  <c r="N24" i="4"/>
  <c r="W15" i="4"/>
  <c r="W53" i="4" s="1"/>
  <c r="M9" i="4"/>
  <c r="O12" i="4"/>
  <c r="R12" i="4"/>
  <c r="U12" i="4" s="1"/>
  <c r="X12" i="4" s="1"/>
  <c r="AA12" i="4" s="1"/>
  <c r="AD12" i="4" s="1"/>
  <c r="AG12" i="4" s="1"/>
  <c r="AF24" i="4"/>
  <c r="T24" i="4"/>
  <c r="T53" i="4" s="1"/>
  <c r="AA38" i="4"/>
  <c r="AD38" i="4" s="1"/>
  <c r="AG38" i="4" s="1"/>
  <c r="N44" i="4"/>
  <c r="N53" i="4" s="1"/>
  <c r="R20" i="4"/>
  <c r="U20" i="4" s="1"/>
  <c r="X20" i="4" s="1"/>
  <c r="AA20" i="4" s="1"/>
  <c r="AD20" i="4" s="1"/>
  <c r="AG20" i="4" s="1"/>
  <c r="O20" i="4"/>
  <c r="M13" i="4"/>
  <c r="U46" i="4"/>
  <c r="R49" i="4"/>
  <c r="Z24" i="4"/>
  <c r="Z53" i="4" s="1"/>
  <c r="L15" i="4"/>
  <c r="L53" i="4" s="1"/>
  <c r="R35" i="4"/>
  <c r="U35" i="4" s="1"/>
  <c r="X35" i="4" s="1"/>
  <c r="AA35" i="4" s="1"/>
  <c r="AD35" i="4" s="1"/>
  <c r="AG35" i="4" s="1"/>
  <c r="O35" i="4"/>
  <c r="L44" i="4"/>
  <c r="AC53" i="4"/>
  <c r="AC15" i="4"/>
  <c r="J44" i="4"/>
  <c r="J49" i="4" s="1"/>
  <c r="M26" i="4"/>
  <c r="X47" i="4"/>
  <c r="AA47" i="4" s="1"/>
  <c r="AD47" i="4" s="1"/>
  <c r="AG47" i="4" s="1"/>
  <c r="T44" i="4"/>
  <c r="O28" i="4"/>
  <c r="R28" i="4"/>
  <c r="U28" i="4" s="1"/>
  <c r="X28" i="4" s="1"/>
  <c r="AA28" i="4" s="1"/>
  <c r="AD28" i="4" s="1"/>
  <c r="AG28" i="4" s="1"/>
  <c r="Q53" i="4"/>
  <c r="Q15" i="4"/>
  <c r="T49" i="4"/>
  <c r="O10" i="4"/>
  <c r="R10" i="4"/>
  <c r="U10" i="4" s="1"/>
  <c r="X10" i="4" s="1"/>
  <c r="AA10" i="4" s="1"/>
  <c r="AD10" i="4" s="1"/>
  <c r="AG10" i="4" s="1"/>
  <c r="M8" i="4"/>
  <c r="T12" i="5" l="1"/>
  <c r="Z55" i="4"/>
  <c r="Z56" i="4" s="1"/>
  <c r="W55" i="4"/>
  <c r="W56" i="4" s="1"/>
  <c r="J56" i="4"/>
  <c r="M55" i="4"/>
  <c r="AC55" i="4"/>
  <c r="AC56" i="4" s="1"/>
  <c r="U49" i="4"/>
  <c r="X46" i="4"/>
  <c r="M24" i="4"/>
  <c r="O18" i="4"/>
  <c r="R18" i="4"/>
  <c r="R13" i="4"/>
  <c r="U13" i="4" s="1"/>
  <c r="X13" i="4" s="1"/>
  <c r="AA13" i="4" s="1"/>
  <c r="AD13" i="4" s="1"/>
  <c r="AG13" i="4" s="1"/>
  <c r="O13" i="4"/>
  <c r="M44" i="4"/>
  <c r="R26" i="4"/>
  <c r="O26" i="4"/>
  <c r="O19" i="4"/>
  <c r="R19" i="4"/>
  <c r="U19" i="4" s="1"/>
  <c r="X19" i="4" s="1"/>
  <c r="AA19" i="4" s="1"/>
  <c r="AD19" i="4" s="1"/>
  <c r="AG19" i="4" s="1"/>
  <c r="M15" i="4"/>
  <c r="M53" i="4" s="1"/>
  <c r="O8" i="4"/>
  <c r="R8" i="4"/>
  <c r="R9" i="4"/>
  <c r="U9" i="4" s="1"/>
  <c r="X9" i="4" s="1"/>
  <c r="AA9" i="4" s="1"/>
  <c r="AD9" i="4" s="1"/>
  <c r="AG9" i="4" s="1"/>
  <c r="O9" i="4"/>
  <c r="M56" i="4" l="1"/>
  <c r="R55" i="4"/>
  <c r="AA46" i="4"/>
  <c r="X49" i="4"/>
  <c r="R24" i="4"/>
  <c r="U18" i="4"/>
  <c r="R15" i="4"/>
  <c r="R53" i="4" s="1"/>
  <c r="U8" i="4"/>
  <c r="R44" i="4"/>
  <c r="U26" i="4"/>
  <c r="O53" i="4"/>
  <c r="R56" i="4" l="1"/>
  <c r="U55" i="4"/>
  <c r="R58" i="4"/>
  <c r="R57" i="4"/>
  <c r="U44" i="4"/>
  <c r="X26" i="4"/>
  <c r="AA49" i="4"/>
  <c r="AD46" i="4"/>
  <c r="X18" i="4"/>
  <c r="U24" i="4"/>
  <c r="U53" i="4"/>
  <c r="X8" i="4"/>
  <c r="U15" i="4"/>
  <c r="AG46" i="4" l="1"/>
  <c r="AG49" i="4" s="1"/>
  <c r="AD49" i="4"/>
  <c r="U56" i="4"/>
  <c r="U62" i="4"/>
  <c r="X55" i="4"/>
  <c r="U57" i="4"/>
  <c r="U85" i="4" s="1"/>
  <c r="X44" i="4"/>
  <c r="AA26" i="4"/>
  <c r="X53" i="4"/>
  <c r="AA8" i="4"/>
  <c r="X15" i="4"/>
  <c r="AA18" i="4"/>
  <c r="X24" i="4"/>
  <c r="AA44" i="4" l="1"/>
  <c r="AD26" i="4"/>
  <c r="AA15" i="4"/>
  <c r="AA53" i="4" s="1"/>
  <c r="AD8" i="4"/>
  <c r="AA55" i="4"/>
  <c r="X56" i="4"/>
  <c r="X57" i="4"/>
  <c r="X86" i="4" s="1"/>
  <c r="AD18" i="4"/>
  <c r="AA24" i="4"/>
  <c r="AA56" i="4" l="1"/>
  <c r="AD55" i="4"/>
  <c r="AA57" i="4"/>
  <c r="AA86" i="4" s="1"/>
  <c r="AA88" i="4" s="1"/>
  <c r="AG26" i="4"/>
  <c r="AG44" i="4" s="1"/>
  <c r="AD44" i="4"/>
  <c r="AD24" i="4"/>
  <c r="AG18" i="4"/>
  <c r="AG24" i="4" s="1"/>
  <c r="AD53" i="4"/>
  <c r="AD15" i="4"/>
  <c r="AG8" i="4"/>
  <c r="AG15" i="4" l="1"/>
  <c r="AG53" i="4" s="1"/>
  <c r="AD56" i="4"/>
  <c r="AG55" i="4"/>
  <c r="AG56" i="4" l="1"/>
  <c r="AH53" i="4"/>
</calcChain>
</file>

<file path=xl/sharedStrings.xml><?xml version="1.0" encoding="utf-8"?>
<sst xmlns="http://schemas.openxmlformats.org/spreadsheetml/2006/main" count="178" uniqueCount="116">
  <si>
    <t>Nariyana</t>
  </si>
  <si>
    <t>Tarod</t>
  </si>
  <si>
    <t>Amora</t>
  </si>
  <si>
    <t>Rogda</t>
  </si>
  <si>
    <t>Private Land Acquisition</t>
  </si>
  <si>
    <t>Private Purchase</t>
  </si>
  <si>
    <t>Govt. Land</t>
  </si>
  <si>
    <t>Village</t>
  </si>
  <si>
    <t>Sr. No.</t>
  </si>
  <si>
    <t>Acres</t>
  </si>
  <si>
    <t>Hect.</t>
  </si>
  <si>
    <t>Type of Land</t>
  </si>
  <si>
    <t>Purpose of Land</t>
  </si>
  <si>
    <t>Total</t>
  </si>
  <si>
    <t>Lease Hold 99 Years</t>
  </si>
  <si>
    <t>Circle Rate of Agricultural Land per Hectare</t>
  </si>
  <si>
    <t>KSK Mahanadi Power Company Limited</t>
  </si>
  <si>
    <t>Leasehold land amortisation as at 31.03.18</t>
  </si>
  <si>
    <t>Sl. No.</t>
  </si>
  <si>
    <t>Particulars</t>
  </si>
  <si>
    <t>Actual lease period</t>
  </si>
  <si>
    <t>Total No.of days</t>
  </si>
  <si>
    <t>Acrage</t>
  </si>
  <si>
    <t>Amount (Rs.)</t>
  </si>
  <si>
    <t>No.of days upto Mar'12</t>
  </si>
  <si>
    <t>Amortisation upto Mar'12</t>
  </si>
  <si>
    <t>No.of days</t>
  </si>
  <si>
    <t>Amortisation (Apr'12 to Mar'13)</t>
  </si>
  <si>
    <t>Total upto Mar'13</t>
  </si>
  <si>
    <t>Actual calculation</t>
  </si>
  <si>
    <t>Difference</t>
  </si>
  <si>
    <t>Amortisation (Apr'13 to Mar'14)</t>
  </si>
  <si>
    <t>Total Amortised upto 31.03.14</t>
  </si>
  <si>
    <t>Amortisation (Apr'14 to Mar'15)</t>
  </si>
  <si>
    <t>Total upto 31.03.15</t>
  </si>
  <si>
    <t>Amortisation (Apr'15 to Mar'16)</t>
  </si>
  <si>
    <t>Total Amortised upto 31.03.16</t>
  </si>
  <si>
    <t>Amortisation (Apr'16 to Mar'17)</t>
  </si>
  <si>
    <t>Total Amortised upto 31.03.17</t>
  </si>
  <si>
    <t>Amortisation (Apr'17 to Mar'18)</t>
  </si>
  <si>
    <t>Total Amortised  upto 31.03.18</t>
  </si>
  <si>
    <t>Current portion (Apr'18 to Mar'19)</t>
  </si>
  <si>
    <t>Non-Current portion</t>
  </si>
  <si>
    <t>From</t>
  </si>
  <si>
    <t>To</t>
  </si>
  <si>
    <t>I</t>
  </si>
  <si>
    <t>207.465 Hectares (512.69 acres)</t>
  </si>
  <si>
    <t>Premium</t>
  </si>
  <si>
    <t>Registration charges - Initial</t>
  </si>
  <si>
    <t>3 *</t>
  </si>
  <si>
    <t>Stamp duty towards amendment of lease deed dt.06.01.12 (from WPCL to KMPCL)</t>
  </si>
  <si>
    <t>4 *</t>
  </si>
  <si>
    <t>Registration charges towards amendment of lease deed dt.06.01.12 (fromWPCL to KMPCL)</t>
  </si>
  <si>
    <t xml:space="preserve">Site levelling </t>
  </si>
  <si>
    <t>Rogda pond - Paid to CSIDC</t>
  </si>
  <si>
    <t>Sub Total</t>
  </si>
  <si>
    <t>* transferred to …</t>
  </si>
  <si>
    <t>II</t>
  </si>
  <si>
    <t>173.777 Hectares (429.35 acres)</t>
  </si>
  <si>
    <t>Premium (net of Rs.31,093,747/- equivalent value of 45.05 ha (111.28 acre) surrendered vide deed dtd.14.03.12</t>
  </si>
  <si>
    <t>Registration charges - A/c: Under protest</t>
  </si>
  <si>
    <t xml:space="preserve">TDS amount capitalised </t>
  </si>
  <si>
    <t>Less: Transferred to WIPL (Reservoir)</t>
  </si>
  <si>
    <t>Less: Transferred to WIPL (Reservoir - Cancelled)</t>
  </si>
  <si>
    <t>III</t>
  </si>
  <si>
    <t>241.657 Hectares (596.885 Acres)</t>
  </si>
  <si>
    <t>Premium incl service charges and compensation</t>
  </si>
  <si>
    <t>Stamp duty and Registration charges</t>
  </si>
  <si>
    <t>Additional Compensation paid incl differential as per demand ltr 25.01.12, Interest and Amount returned by CSIDCL</t>
  </si>
  <si>
    <t>Registration charges - Split deed dt.07.04.12 (65.931 hectares)</t>
  </si>
  <si>
    <t>Stamp duty - Split deed dt.07.04.12 (65.931 hectares)</t>
  </si>
  <si>
    <t>Registration charges - Split deed dt.07.04.12 (175.726 hectares)</t>
  </si>
  <si>
    <t>Stamp duty - Split deed dt.07.04.12 (175.726 hectares)</t>
  </si>
  <si>
    <t>Additional compensation paid during June'12 qtr and capitalised</t>
  </si>
  <si>
    <t>Additional compensation paid during Sept'12 qtr and capitalised</t>
  </si>
  <si>
    <t>Additional compensation paid during Dec'12 qtr and capitalised</t>
  </si>
  <si>
    <t>Additional compensation paid during June'13 qtr and capitalised</t>
  </si>
  <si>
    <t>Additional compensation paid during Dec'13 qtr and capitalised</t>
  </si>
  <si>
    <t>Less: Transferred to RCRIPL</t>
  </si>
  <si>
    <t>Additional compensation paid during Sept'14 qtr and capitalised</t>
  </si>
  <si>
    <t>Additional compensation paid during June'15 qtr and capitalised</t>
  </si>
  <si>
    <t>Additional compensation paid during June'16 qtr and capitalised</t>
  </si>
  <si>
    <t>IV</t>
  </si>
  <si>
    <t>1.465 Hectares (3.62 Acres)</t>
  </si>
  <si>
    <t>Service charges @ 10% on Rs.3620,000/-</t>
  </si>
  <si>
    <t>Less: Transferred to RCRIPL incl ammortisation</t>
  </si>
  <si>
    <t>As per Ledger (GL Code:2112) as at 31.03.18</t>
  </si>
  <si>
    <t>31.03.18</t>
  </si>
  <si>
    <t>Check / difference</t>
  </si>
  <si>
    <t>Transferred to RCRIPL</t>
  </si>
  <si>
    <t>Premium, Service charges and etc., (Railway Land)</t>
  </si>
  <si>
    <t>Service charges (Railway Land)</t>
  </si>
  <si>
    <t>Accumulated depreciation on above</t>
  </si>
  <si>
    <t>Crop compensation</t>
  </si>
  <si>
    <t>Security deposit -65.931 Ha</t>
  </si>
  <si>
    <t>Security deposit -1.465 Ha</t>
  </si>
  <si>
    <t>Amount transferred on 31.03.14</t>
  </si>
  <si>
    <t>JV 030871/31.03.14</t>
  </si>
  <si>
    <t>Transferred to WIPL</t>
  </si>
  <si>
    <t>Reservoir</t>
  </si>
  <si>
    <t>Reservoir (cancelled)</t>
  </si>
  <si>
    <t>Seucurity deposit</t>
  </si>
  <si>
    <t>JV 030873/31.03.14</t>
  </si>
  <si>
    <t>Land Converted</t>
  </si>
  <si>
    <t>acres</t>
  </si>
  <si>
    <t>Total GLR Rates of Land</t>
  </si>
  <si>
    <t>Solutioum</t>
  </si>
  <si>
    <t>Source: KSKMPCL Management</t>
  </si>
  <si>
    <t>FAIR MARKET VALUATION OF PROJECT LAND : 6x600 MW COAL BASED THERMAL POWER PLANT OF M/S. KSK MAHANADI POWER COMPANY LIMITED, CHHATTISGARH</t>
  </si>
  <si>
    <t>Total (A)</t>
  </si>
  <si>
    <t>Market Rates of Land per acre                              (B)</t>
  </si>
  <si>
    <t>Total Market Value of Land (C=A*B)</t>
  </si>
  <si>
    <t>Additional premium of 5% over the Total Market Value of land for land arranging charges, land conversion etc.                                   (D)</t>
  </si>
  <si>
    <t>Lumpsum Land levelling, Site Development Charges etc. ( E)</t>
  </si>
  <si>
    <t>Fair Market Value of Land (C+D+E)</t>
  </si>
  <si>
    <t>PROJECT LAND AREA : 6x600 MW COAL BASED THERMAL POWER PLANT OF M/S. KSK MAHANADI POWER COMPANY LIMITED, CHHATTISGARH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</si>
</sst>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[$-409]d\-mmm\-yy;@"/>
    <numFmt numFmtId="168" formatCode="[$-409]d\-mmm\-yyyy;@"/>
    <numFmt numFmtId="169" formatCode="_(* #,##0.0_);_(* \(#,##0.0\);_(* &quot;-&quot;??_);_(@_)"/>
    <numFmt numFmtId="170" formatCode="0.000"/>
    <numFmt numFmtId="171" formatCode="_(* #,##0_);_(* \(#,##0\);_(* &quot;-&quot;_);_(@_)"/>
    <numFmt numFmtId="172" formatCode="_(* #,##0.000_);_(* \(#,##0.000\);_(* &quot;-&quot;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Book Antiqua"/>
      <family val="1"/>
    </font>
    <font>
      <sz val="10"/>
      <name val="Arial"/>
      <family val="2"/>
    </font>
    <font>
      <sz val="9"/>
      <name val="Book Antiqua"/>
      <family val="1"/>
    </font>
    <font>
      <b/>
      <sz val="9"/>
      <color theme="9" tint="-0.499984740745262"/>
      <name val="Book Antiqua"/>
      <family val="1"/>
    </font>
    <font>
      <sz val="9"/>
      <color rgb="FF7030A0"/>
      <name val="Book Antiqua"/>
      <family val="1"/>
    </font>
    <font>
      <sz val="9"/>
      <color rgb="FFFF0000"/>
      <name val="Book Antiqua"/>
      <family val="1"/>
    </font>
    <font>
      <b/>
      <sz val="9"/>
      <color rgb="FFFF0000"/>
      <name val="Book Antiqua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55"/>
      </right>
      <top style="double">
        <color indexed="64"/>
      </top>
      <bottom/>
      <diagonal/>
    </border>
    <border>
      <left style="medium">
        <color indexed="55"/>
      </left>
      <right style="medium">
        <color indexed="55"/>
      </right>
      <top style="double">
        <color indexed="64"/>
      </top>
      <bottom/>
      <diagonal/>
    </border>
    <border>
      <left style="medium">
        <color indexed="55"/>
      </left>
      <right/>
      <top style="double">
        <color indexed="64"/>
      </top>
      <bottom style="thin">
        <color indexed="55"/>
      </bottom>
      <diagonal/>
    </border>
    <border>
      <left/>
      <right style="medium">
        <color indexed="55"/>
      </right>
      <top style="double">
        <color indexed="64"/>
      </top>
      <bottom style="thin">
        <color indexed="55"/>
      </bottom>
      <diagonal/>
    </border>
    <border>
      <left style="medium">
        <color indexed="55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55"/>
      </right>
      <top/>
      <bottom style="double">
        <color indexed="64"/>
      </bottom>
      <diagonal/>
    </border>
    <border>
      <left style="medium">
        <color indexed="55"/>
      </left>
      <right style="medium">
        <color indexed="55"/>
      </right>
      <top/>
      <bottom style="double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double">
        <color indexed="64"/>
      </bottom>
      <diagonal/>
    </border>
    <border>
      <left style="medium">
        <color indexed="55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55"/>
      </right>
      <top/>
      <bottom style="thin">
        <color indexed="55"/>
      </bottom>
      <diagonal/>
    </border>
    <border>
      <left style="medium">
        <color indexed="55"/>
      </left>
      <right style="medium">
        <color indexed="55"/>
      </right>
      <top/>
      <bottom style="thin">
        <color indexed="55"/>
      </bottom>
      <diagonal/>
    </border>
    <border>
      <left style="medium">
        <color indexed="55"/>
      </left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double">
        <color indexed="64"/>
      </right>
      <top style="thin">
        <color indexed="55"/>
      </top>
      <bottom/>
      <diagonal/>
    </border>
    <border>
      <left style="double">
        <color indexed="64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55"/>
      </right>
      <top style="medium">
        <color indexed="64"/>
      </top>
      <bottom style="double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double">
        <color indexed="64"/>
      </bottom>
      <diagonal/>
    </border>
    <border>
      <left style="medium">
        <color indexed="55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166" fontId="4" fillId="0" borderId="0" xfId="1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/>
    <xf numFmtId="166" fontId="6" fillId="0" borderId="14" xfId="1" applyNumberFormat="1" applyFont="1" applyBorder="1"/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168" fontId="6" fillId="0" borderId="17" xfId="0" applyNumberFormat="1" applyFont="1" applyBorder="1"/>
    <xf numFmtId="166" fontId="6" fillId="0" borderId="17" xfId="1" applyNumberFormat="1" applyFont="1" applyFill="1" applyBorder="1"/>
    <xf numFmtId="0" fontId="6" fillId="0" borderId="17" xfId="0" applyFont="1" applyBorder="1" applyAlignment="1">
      <alignment horizontal="right"/>
    </xf>
    <xf numFmtId="166" fontId="6" fillId="0" borderId="17" xfId="1" applyNumberFormat="1" applyFont="1" applyBorder="1"/>
    <xf numFmtId="166" fontId="6" fillId="0" borderId="17" xfId="0" applyNumberFormat="1" applyFont="1" applyBorder="1"/>
    <xf numFmtId="166" fontId="6" fillId="0" borderId="18" xfId="0" applyNumberFormat="1" applyFont="1" applyBorder="1"/>
    <xf numFmtId="166" fontId="6" fillId="0" borderId="0" xfId="0" applyNumberFormat="1" applyFont="1"/>
    <xf numFmtId="0" fontId="6" fillId="0" borderId="17" xfId="0" applyFont="1" applyBorder="1" applyAlignment="1">
      <alignment horizontal="center"/>
    </xf>
    <xf numFmtId="169" fontId="6" fillId="0" borderId="0" xfId="1" applyNumberFormat="1" applyFont="1"/>
    <xf numFmtId="0" fontId="6" fillId="0" borderId="17" xfId="0" applyFont="1" applyBorder="1" applyAlignment="1">
      <alignment wrapText="1"/>
    </xf>
    <xf numFmtId="0" fontId="4" fillId="4" borderId="17" xfId="0" applyFont="1" applyFill="1" applyBorder="1" applyAlignment="1">
      <alignment horizontal="center" wrapText="1"/>
    </xf>
    <xf numFmtId="168" fontId="6" fillId="4" borderId="17" xfId="0" applyNumberFormat="1" applyFont="1" applyFill="1" applyBorder="1"/>
    <xf numFmtId="0" fontId="4" fillId="4" borderId="17" xfId="0" applyFont="1" applyFill="1" applyBorder="1"/>
    <xf numFmtId="166" fontId="4" fillId="4" borderId="17" xfId="1" applyNumberFormat="1" applyFont="1" applyFill="1" applyBorder="1"/>
    <xf numFmtId="0" fontId="4" fillId="4" borderId="17" xfId="0" applyFont="1" applyFill="1" applyBorder="1" applyAlignment="1">
      <alignment horizontal="right"/>
    </xf>
    <xf numFmtId="0" fontId="6" fillId="4" borderId="17" xfId="0" applyFont="1" applyFill="1" applyBorder="1"/>
    <xf numFmtId="166" fontId="4" fillId="4" borderId="18" xfId="1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 wrapText="1"/>
    </xf>
    <xf numFmtId="168" fontId="6" fillId="0" borderId="17" xfId="0" applyNumberFormat="1" applyFont="1" applyFill="1" applyBorder="1"/>
    <xf numFmtId="0" fontId="4" fillId="0" borderId="17" xfId="0" applyFont="1" applyFill="1" applyBorder="1"/>
    <xf numFmtId="166" fontId="4" fillId="0" borderId="17" xfId="1" applyNumberFormat="1" applyFont="1" applyFill="1" applyBorder="1"/>
    <xf numFmtId="0" fontId="4" fillId="0" borderId="17" xfId="0" applyFont="1" applyFill="1" applyBorder="1" applyAlignment="1">
      <alignment horizontal="right"/>
    </xf>
    <xf numFmtId="0" fontId="6" fillId="0" borderId="17" xfId="0" applyFont="1" applyFill="1" applyBorder="1"/>
    <xf numFmtId="166" fontId="4" fillId="0" borderId="18" xfId="1" applyNumberFormat="1" applyFont="1" applyFill="1" applyBorder="1"/>
    <xf numFmtId="0" fontId="6" fillId="0" borderId="0" xfId="0" applyFont="1" applyFill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6" fillId="0" borderId="18" xfId="0" applyFont="1" applyBorder="1"/>
    <xf numFmtId="0" fontId="8" fillId="0" borderId="17" xfId="0" applyFont="1" applyBorder="1" applyAlignment="1">
      <alignment wrapText="1"/>
    </xf>
    <xf numFmtId="168" fontId="8" fillId="0" borderId="17" xfId="0" applyNumberFormat="1" applyFont="1" applyBorder="1"/>
    <xf numFmtId="0" fontId="8" fillId="0" borderId="17" xfId="0" applyFont="1" applyBorder="1"/>
    <xf numFmtId="43" fontId="8" fillId="0" borderId="17" xfId="1" applyFont="1" applyBorder="1"/>
    <xf numFmtId="166" fontId="8" fillId="0" borderId="17" xfId="1" applyNumberFormat="1" applyFont="1" applyBorder="1"/>
    <xf numFmtId="0" fontId="8" fillId="0" borderId="17" xfId="0" applyFont="1" applyBorder="1" applyAlignment="1">
      <alignment horizontal="right"/>
    </xf>
    <xf numFmtId="166" fontId="8" fillId="0" borderId="17" xfId="0" applyNumberFormat="1" applyFont="1" applyBorder="1"/>
    <xf numFmtId="166" fontId="8" fillId="0" borderId="18" xfId="0" applyNumberFormat="1" applyFont="1" applyBorder="1"/>
    <xf numFmtId="166" fontId="8" fillId="0" borderId="0" xfId="0" applyNumberFormat="1" applyFont="1"/>
    <xf numFmtId="0" fontId="8" fillId="0" borderId="17" xfId="0" applyFont="1" applyBorder="1" applyAlignment="1">
      <alignment horizontal="center"/>
    </xf>
    <xf numFmtId="170" fontId="6" fillId="0" borderId="17" xfId="0" applyNumberFormat="1" applyFont="1" applyBorder="1"/>
    <xf numFmtId="166" fontId="8" fillId="0" borderId="17" xfId="1" applyNumberFormat="1" applyFont="1" applyFill="1" applyBorder="1"/>
    <xf numFmtId="170" fontId="4" fillId="4" borderId="17" xfId="0" applyNumberFormat="1" applyFont="1" applyFill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168" fontId="6" fillId="0" borderId="20" xfId="0" applyNumberFormat="1" applyFont="1" applyBorder="1"/>
    <xf numFmtId="0" fontId="6" fillId="0" borderId="20" xfId="0" applyFont="1" applyBorder="1"/>
    <xf numFmtId="166" fontId="6" fillId="0" borderId="20" xfId="1" applyNumberFormat="1" applyFont="1" applyBorder="1"/>
    <xf numFmtId="0" fontId="6" fillId="0" borderId="20" xfId="0" applyFont="1" applyBorder="1" applyAlignment="1">
      <alignment horizontal="right"/>
    </xf>
    <xf numFmtId="0" fontId="6" fillId="0" borderId="21" xfId="0" applyFont="1" applyBorder="1"/>
    <xf numFmtId="0" fontId="8" fillId="0" borderId="16" xfId="0" applyFont="1" applyBorder="1" applyAlignment="1">
      <alignment horizontal="center"/>
    </xf>
    <xf numFmtId="0" fontId="8" fillId="0" borderId="0" xfId="0" applyFont="1"/>
    <xf numFmtId="43" fontId="4" fillId="4" borderId="17" xfId="1" applyFont="1" applyFill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/>
    <xf numFmtId="168" fontId="6" fillId="0" borderId="23" xfId="0" applyNumberFormat="1" applyFont="1" applyBorder="1"/>
    <xf numFmtId="166" fontId="6" fillId="0" borderId="23" xfId="1" applyNumberFormat="1" applyFont="1" applyBorder="1"/>
    <xf numFmtId="0" fontId="6" fillId="0" borderId="23" xfId="0" applyFont="1" applyBorder="1" applyAlignment="1">
      <alignment horizontal="right"/>
    </xf>
    <xf numFmtId="0" fontId="6" fillId="0" borderId="24" xfId="0" applyFont="1" applyBorder="1"/>
    <xf numFmtId="171" fontId="4" fillId="3" borderId="25" xfId="0" applyNumberFormat="1" applyFont="1" applyFill="1" applyBorder="1" applyAlignment="1">
      <alignment horizontal="center" vertical="top" wrapText="1"/>
    </xf>
    <xf numFmtId="171" fontId="4" fillId="3" borderId="26" xfId="0" applyNumberFormat="1" applyFont="1" applyFill="1" applyBorder="1" applyAlignment="1">
      <alignment horizontal="center" vertical="top" wrapText="1"/>
    </xf>
    <xf numFmtId="172" fontId="4" fillId="3" borderId="26" xfId="0" applyNumberFormat="1" applyFont="1" applyFill="1" applyBorder="1" applyAlignment="1">
      <alignment horizontal="center" vertical="top" wrapText="1"/>
    </xf>
    <xf numFmtId="171" fontId="4" fillId="3" borderId="27" xfId="0" applyNumberFormat="1" applyFont="1" applyFill="1" applyBorder="1" applyAlignment="1">
      <alignment horizontal="center" vertical="top" wrapText="1"/>
    </xf>
    <xf numFmtId="171" fontId="6" fillId="0" borderId="0" xfId="0" applyNumberFormat="1" applyFont="1"/>
    <xf numFmtId="0" fontId="6" fillId="0" borderId="0" xfId="0" applyFont="1" applyAlignment="1">
      <alignment horizontal="center"/>
    </xf>
    <xf numFmtId="166" fontId="6" fillId="0" borderId="0" xfId="1" applyNumberFormat="1" applyFont="1"/>
    <xf numFmtId="0" fontId="6" fillId="0" borderId="0" xfId="0" applyFont="1" applyAlignment="1">
      <alignment horizontal="right"/>
    </xf>
    <xf numFmtId="166" fontId="6" fillId="0" borderId="0" xfId="3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6" fontId="9" fillId="0" borderId="0" xfId="1" applyNumberFormat="1" applyFont="1" applyAlignment="1">
      <alignment horizontal="center"/>
    </xf>
    <xf numFmtId="171" fontId="9" fillId="0" borderId="0" xfId="0" applyNumberFormat="1" applyFont="1"/>
    <xf numFmtId="166" fontId="9" fillId="0" borderId="0" xfId="1" applyNumberFormat="1" applyFont="1"/>
    <xf numFmtId="168" fontId="9" fillId="0" borderId="0" xfId="0" applyNumberFormat="1" applyFont="1" applyBorder="1"/>
    <xf numFmtId="0" fontId="9" fillId="0" borderId="0" xfId="0" applyFont="1" applyBorder="1"/>
    <xf numFmtId="166" fontId="10" fillId="0" borderId="0" xfId="1" applyNumberFormat="1" applyFont="1"/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168" fontId="9" fillId="0" borderId="28" xfId="0" applyNumberFormat="1" applyFont="1" applyBorder="1"/>
    <xf numFmtId="166" fontId="10" fillId="0" borderId="28" xfId="1" applyNumberFormat="1" applyFont="1" applyBorder="1"/>
    <xf numFmtId="43" fontId="9" fillId="0" borderId="0" xfId="1" applyFont="1"/>
    <xf numFmtId="0" fontId="6" fillId="0" borderId="0" xfId="0" applyFont="1" applyBorder="1"/>
    <xf numFmtId="44" fontId="0" fillId="0" borderId="0" xfId="2" applyFont="1"/>
    <xf numFmtId="44" fontId="0" fillId="0" borderId="0" xfId="0" applyNumberFormat="1"/>
    <xf numFmtId="0" fontId="0" fillId="0" borderId="0" xfId="0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1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0" fillId="0" borderId="3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</cellXfs>
  <cellStyles count="4">
    <cellStyle name="Comma" xfId="1" builtinId="3"/>
    <cellStyle name="Comma 3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173%20-%20KSK%20Mahanadi%20Power%206x600%20MW%20TPP/Technical%20Details/RK_P&amp;M%20Sheets-%20KSKMPCL/Fixed%20Assets%20Reg-KMPCL-Mar'18%20(23.05.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es List Deletion (Proj)"/>
      <sheetName val="Mobiles List Deletion (Opn)"/>
      <sheetName val="Sale of Asset - List"/>
      <sheetName val="Leasehold land-2112 (Project)"/>
      <sheetName val="Buildg-Others"/>
      <sheetName val="Leasehold Prprts-2131 (Project)"/>
      <sheetName val="Buildg-Others -2117 (Project)"/>
      <sheetName val="Plant Buildings-2116 (Project)"/>
      <sheetName val="P&amp;M-Ele-Insta-2120 (Project)"/>
      <sheetName val="P&amp;M-Misc Eqipt-2127 (Project)"/>
      <sheetName val="P &amp; M-2115 (Project)"/>
      <sheetName val="F &amp; F-2114 (Project)"/>
      <sheetName val="P&amp;M 5.28"/>
      <sheetName val="Office Euipt-2113 (Project)"/>
      <sheetName val="Vehicles-2118 (Project)"/>
      <sheetName val="Data Proc Eqpmnt-2119 (Project)"/>
      <sheetName val="Comp. Software-2128 (Project)"/>
      <sheetName val="Leasehold land &amp; Amortisation"/>
      <sheetName val="Office Equp-2113 (Opn)"/>
      <sheetName val="F &amp; F-2114 (Opn)"/>
      <sheetName val="Data Prcesing Eqpmnt-2119 (Opn)"/>
      <sheetName val="P &amp; M-2115 (Opn)"/>
      <sheetName val="Unit-3 &amp; 4 Capex Assets"/>
      <sheetName val="Unit-3&amp;4 Capex Assets (Rvsd)"/>
      <sheetName val="Vehicles-Scorpio-Bolero"/>
      <sheetName val="Unit-3 Capitalised Assets"/>
      <sheetName val="Sheet1"/>
      <sheetName val="Sheet2"/>
      <sheetName val="Vehicles-2118 (Operation)"/>
      <sheetName val="Unit-III"/>
      <sheetName val="Unit-IV"/>
      <sheetName val="Unit-II"/>
      <sheetName val="FA Summary"/>
      <sheetName val="Unit-2 Capex Assets"/>
      <sheetName val="Unit-III 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2"/>
  <sheetViews>
    <sheetView topLeftCell="A16" workbookViewId="0">
      <selection activeCell="C31" sqref="C31"/>
    </sheetView>
  </sheetViews>
  <sheetFormatPr defaultColWidth="9" defaultRowHeight="13.2" x14ac:dyDescent="0.3"/>
  <cols>
    <col min="1" max="1" width="4.21875" style="20" customWidth="1"/>
    <col min="2" max="2" width="5.109375" style="96" customWidth="1"/>
    <col min="3" max="3" width="58" style="20" customWidth="1"/>
    <col min="4" max="4" width="15.77734375" style="20" customWidth="1"/>
    <col min="5" max="5" width="13.77734375" style="20" customWidth="1"/>
    <col min="6" max="6" width="11.109375" style="20" customWidth="1"/>
    <col min="7" max="7" width="13.44140625" style="20" customWidth="1"/>
    <col min="8" max="8" width="17.5546875" style="20" customWidth="1"/>
    <col min="9" max="9" width="7.33203125" style="20" customWidth="1"/>
    <col min="10" max="10" width="10.109375" style="20" customWidth="1"/>
    <col min="11" max="11" width="4.6640625" style="20" customWidth="1"/>
    <col min="12" max="12" width="9.88671875" style="97" customWidth="1"/>
    <col min="13" max="14" width="10.6640625" style="20" customWidth="1"/>
    <col min="15" max="15" width="12.109375" style="20" customWidth="1"/>
    <col min="16" max="16" width="4.33203125" style="20" customWidth="1"/>
    <col min="17" max="17" width="9.88671875" style="97" customWidth="1"/>
    <col min="18" max="18" width="10.77734375" style="20" customWidth="1"/>
    <col min="19" max="19" width="4.77734375" style="20" customWidth="1"/>
    <col min="20" max="20" width="9.88671875" style="97" customWidth="1"/>
    <col min="21" max="21" width="10.88671875" style="20" customWidth="1"/>
    <col min="22" max="22" width="4.77734375" style="20" customWidth="1"/>
    <col min="23" max="23" width="9.88671875" style="97" customWidth="1"/>
    <col min="24" max="24" width="10.33203125" style="20" customWidth="1"/>
    <col min="25" max="25" width="5.109375" style="20" customWidth="1"/>
    <col min="26" max="26" width="9.88671875" style="97" customWidth="1"/>
    <col min="27" max="27" width="10.33203125" style="20" customWidth="1"/>
    <col min="28" max="28" width="4.77734375" style="20" customWidth="1"/>
    <col min="29" max="29" width="14.109375" style="20" customWidth="1"/>
    <col min="30" max="30" width="16.33203125" style="20" customWidth="1"/>
    <col min="31" max="31" width="4.6640625" style="20" customWidth="1"/>
    <col min="32" max="32" width="10.21875" style="97" customWidth="1"/>
    <col min="33" max="33" width="11.77734375" style="97" customWidth="1"/>
    <col min="34" max="34" width="10.44140625" style="20" bestFit="1" customWidth="1"/>
    <col min="35" max="36" width="6.21875" style="20" customWidth="1"/>
    <col min="37" max="16384" width="9" style="20"/>
  </cols>
  <sheetData>
    <row r="2" spans="2:34" x14ac:dyDescent="0.3">
      <c r="B2" s="17" t="s">
        <v>16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18"/>
      <c r="N2" s="18"/>
      <c r="O2" s="18"/>
      <c r="P2" s="18"/>
      <c r="Q2" s="19"/>
      <c r="R2" s="18"/>
      <c r="S2" s="18"/>
      <c r="T2" s="19"/>
      <c r="U2" s="18"/>
      <c r="V2" s="18"/>
      <c r="W2" s="19"/>
      <c r="X2" s="18"/>
      <c r="Y2" s="18"/>
      <c r="Z2" s="19"/>
      <c r="AA2" s="18"/>
      <c r="AB2" s="18"/>
      <c r="AC2" s="18"/>
      <c r="AD2" s="18"/>
      <c r="AE2" s="18"/>
      <c r="AF2" s="19"/>
      <c r="AG2" s="19"/>
    </row>
    <row r="3" spans="2:34" x14ac:dyDescent="0.3">
      <c r="B3" s="21"/>
      <c r="C3" s="18"/>
      <c r="D3" s="18"/>
      <c r="E3" s="18"/>
      <c r="F3" s="18"/>
      <c r="G3" s="18"/>
      <c r="H3" s="18"/>
      <c r="I3" s="18"/>
      <c r="J3" s="18"/>
      <c r="K3" s="18"/>
      <c r="L3" s="19"/>
      <c r="M3" s="18"/>
      <c r="N3" s="18"/>
      <c r="O3" s="18"/>
      <c r="P3" s="18"/>
      <c r="Q3" s="19"/>
      <c r="R3" s="18"/>
      <c r="S3" s="18"/>
      <c r="T3" s="19"/>
      <c r="U3" s="22">
        <v>42095</v>
      </c>
      <c r="V3" s="18"/>
      <c r="W3" s="22">
        <v>42460</v>
      </c>
      <c r="X3" s="18"/>
      <c r="Y3" s="18"/>
      <c r="Z3" s="22"/>
      <c r="AA3" s="18"/>
      <c r="AB3" s="18"/>
      <c r="AC3" s="18"/>
      <c r="AD3" s="18"/>
      <c r="AE3" s="18"/>
      <c r="AF3" s="22"/>
      <c r="AG3" s="22"/>
    </row>
    <row r="4" spans="2:34" ht="13.8" thickBot="1" x14ac:dyDescent="0.35">
      <c r="B4" s="17" t="s">
        <v>17</v>
      </c>
      <c r="C4" s="18"/>
      <c r="D4" s="18"/>
      <c r="E4" s="18"/>
      <c r="F4" s="18"/>
      <c r="G4" s="18"/>
      <c r="H4" s="18"/>
      <c r="I4" s="145">
        <v>40999</v>
      </c>
      <c r="J4" s="145"/>
      <c r="K4" s="137">
        <v>41364</v>
      </c>
      <c r="L4" s="137"/>
      <c r="M4" s="137"/>
      <c r="N4" s="137"/>
      <c r="O4" s="18"/>
      <c r="P4" s="137">
        <v>41729</v>
      </c>
      <c r="Q4" s="137"/>
      <c r="R4" s="137"/>
      <c r="S4" s="137">
        <v>42094</v>
      </c>
      <c r="T4" s="137"/>
      <c r="U4" s="137"/>
      <c r="V4" s="137">
        <v>42460</v>
      </c>
      <c r="W4" s="137"/>
      <c r="X4" s="137"/>
      <c r="Y4" s="137">
        <v>42825</v>
      </c>
      <c r="Z4" s="137"/>
      <c r="AA4" s="137"/>
      <c r="AB4" s="137">
        <v>43190</v>
      </c>
      <c r="AC4" s="137"/>
      <c r="AD4" s="137"/>
      <c r="AE4" s="137">
        <v>43555</v>
      </c>
      <c r="AF4" s="137"/>
      <c r="AG4" s="137"/>
    </row>
    <row r="5" spans="2:34" ht="13.8" thickTop="1" x14ac:dyDescent="0.3">
      <c r="B5" s="141" t="s">
        <v>18</v>
      </c>
      <c r="C5" s="133" t="s">
        <v>19</v>
      </c>
      <c r="D5" s="143" t="s">
        <v>20</v>
      </c>
      <c r="E5" s="144"/>
      <c r="F5" s="133" t="s">
        <v>21</v>
      </c>
      <c r="G5" s="133" t="s">
        <v>22</v>
      </c>
      <c r="H5" s="133" t="s">
        <v>23</v>
      </c>
      <c r="I5" s="133" t="s">
        <v>24</v>
      </c>
      <c r="J5" s="133" t="s">
        <v>25</v>
      </c>
      <c r="K5" s="133" t="s">
        <v>26</v>
      </c>
      <c r="L5" s="133" t="s">
        <v>27</v>
      </c>
      <c r="M5" s="133" t="s">
        <v>28</v>
      </c>
      <c r="N5" s="138" t="s">
        <v>29</v>
      </c>
      <c r="O5" s="140" t="s">
        <v>30</v>
      </c>
      <c r="P5" s="133" t="s">
        <v>26</v>
      </c>
      <c r="Q5" s="133" t="s">
        <v>31</v>
      </c>
      <c r="R5" s="133" t="s">
        <v>32</v>
      </c>
      <c r="S5" s="133" t="s">
        <v>26</v>
      </c>
      <c r="T5" s="133" t="s">
        <v>33</v>
      </c>
      <c r="U5" s="133" t="s">
        <v>34</v>
      </c>
      <c r="V5" s="133" t="s">
        <v>26</v>
      </c>
      <c r="W5" s="133" t="s">
        <v>35</v>
      </c>
      <c r="X5" s="133" t="s">
        <v>36</v>
      </c>
      <c r="Y5" s="133" t="s">
        <v>26</v>
      </c>
      <c r="Z5" s="133" t="s">
        <v>37</v>
      </c>
      <c r="AA5" s="133" t="s">
        <v>38</v>
      </c>
      <c r="AB5" s="133" t="s">
        <v>26</v>
      </c>
      <c r="AC5" s="133" t="s">
        <v>39</v>
      </c>
      <c r="AD5" s="133" t="s">
        <v>40</v>
      </c>
      <c r="AE5" s="133" t="s">
        <v>26</v>
      </c>
      <c r="AF5" s="133" t="s">
        <v>41</v>
      </c>
      <c r="AG5" s="135" t="s">
        <v>42</v>
      </c>
    </row>
    <row r="6" spans="2:34" ht="13.8" thickBot="1" x14ac:dyDescent="0.35">
      <c r="B6" s="142"/>
      <c r="C6" s="134" t="s">
        <v>19</v>
      </c>
      <c r="D6" s="23" t="s">
        <v>43</v>
      </c>
      <c r="E6" s="23" t="s">
        <v>44</v>
      </c>
      <c r="F6" s="134"/>
      <c r="G6" s="134" t="s">
        <v>22</v>
      </c>
      <c r="H6" s="134"/>
      <c r="I6" s="134"/>
      <c r="J6" s="134"/>
      <c r="K6" s="134"/>
      <c r="L6" s="134"/>
      <c r="M6" s="134"/>
      <c r="N6" s="139"/>
      <c r="O6" s="140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6"/>
    </row>
    <row r="7" spans="2:34" ht="13.8" thickTop="1" x14ac:dyDescent="0.3">
      <c r="B7" s="24" t="s">
        <v>45</v>
      </c>
      <c r="C7" s="25" t="s">
        <v>46</v>
      </c>
      <c r="D7" s="26"/>
      <c r="E7" s="26"/>
      <c r="F7" s="27"/>
      <c r="G7" s="27"/>
      <c r="H7" s="27"/>
      <c r="I7" s="27"/>
      <c r="J7" s="27"/>
      <c r="K7" s="28"/>
      <c r="L7" s="29"/>
      <c r="M7" s="28"/>
      <c r="N7" s="30"/>
      <c r="P7" s="28"/>
      <c r="Q7" s="29"/>
      <c r="R7" s="28"/>
      <c r="S7" s="28"/>
      <c r="T7" s="29"/>
      <c r="U7" s="28"/>
      <c r="V7" s="28"/>
      <c r="W7" s="29"/>
      <c r="X7" s="28"/>
      <c r="Y7" s="28"/>
      <c r="Z7" s="29"/>
      <c r="AA7" s="28"/>
      <c r="AB7" s="28"/>
      <c r="AC7" s="28"/>
      <c r="AD7" s="28"/>
      <c r="AE7" s="28"/>
      <c r="AF7" s="29"/>
      <c r="AG7" s="29"/>
    </row>
    <row r="8" spans="2:34" x14ac:dyDescent="0.3">
      <c r="B8" s="31">
        <v>1</v>
      </c>
      <c r="C8" s="32" t="s">
        <v>47</v>
      </c>
      <c r="D8" s="33">
        <v>39806</v>
      </c>
      <c r="E8" s="33">
        <v>75963</v>
      </c>
      <c r="F8" s="32">
        <f t="shared" ref="F8:F13" si="0">E8-D8+1</f>
        <v>36158</v>
      </c>
      <c r="G8" s="32">
        <v>512.69000000000005</v>
      </c>
      <c r="H8" s="34">
        <v>166025856</v>
      </c>
      <c r="I8" s="35">
        <f>$I$4-D8+1</f>
        <v>1194</v>
      </c>
      <c r="J8" s="36">
        <f>ROUND(H8/F8*I8,)+4590</f>
        <v>5487052</v>
      </c>
      <c r="K8" s="32">
        <f>$K$4-$I$4</f>
        <v>365</v>
      </c>
      <c r="L8" s="36">
        <f>ROUND(H8/F8*K8,)-4590</f>
        <v>1671372</v>
      </c>
      <c r="M8" s="37">
        <f t="shared" ref="M8:M13" si="1">J8+L8</f>
        <v>7158424</v>
      </c>
      <c r="N8" s="38">
        <f t="shared" ref="N8:N13" si="2">ROUND(H8/F8*(I8+K8),)</f>
        <v>7158424</v>
      </c>
      <c r="O8" s="39">
        <f t="shared" ref="O8:O13" si="3">+M8-N8</f>
        <v>0</v>
      </c>
      <c r="P8" s="40">
        <f t="shared" ref="P8:P13" si="4">+$P$4-$K$4</f>
        <v>365</v>
      </c>
      <c r="Q8" s="36">
        <f t="shared" ref="Q8:Q13" si="5">ROUND(H8/F8*P8,)</f>
        <v>1675962</v>
      </c>
      <c r="R8" s="37">
        <f t="shared" ref="R8:R13" si="6">+M8+Q8</f>
        <v>8834386</v>
      </c>
      <c r="S8" s="40">
        <f t="shared" ref="S8:S13" si="7">+$S$4-$P$4</f>
        <v>365</v>
      </c>
      <c r="T8" s="36">
        <f t="shared" ref="T8:T13" si="8">ROUND(H8/F8*S8,)</f>
        <v>1675962</v>
      </c>
      <c r="U8" s="37">
        <f t="shared" ref="U8:U13" si="9">+R8+T8</f>
        <v>10510348</v>
      </c>
      <c r="V8" s="40">
        <f t="shared" ref="V8:V13" si="10">$V$4-$S$4</f>
        <v>366</v>
      </c>
      <c r="W8" s="36">
        <f t="shared" ref="W8:W13" si="11">ROUND(H8/F8*V8,)</f>
        <v>1680554</v>
      </c>
      <c r="X8" s="37">
        <f t="shared" ref="X8:X13" si="12">+U8+W8</f>
        <v>12190902</v>
      </c>
      <c r="Y8" s="40">
        <f t="shared" ref="Y8:Y13" si="13">+$Y$4-$V$4</f>
        <v>365</v>
      </c>
      <c r="Z8" s="36">
        <f>+ROUND(H8/F8*Y8,)</f>
        <v>1675962</v>
      </c>
      <c r="AA8" s="37">
        <f>+X8+Z8</f>
        <v>13866864</v>
      </c>
      <c r="AB8" s="37">
        <f>$AB$4-$Y$4</f>
        <v>365</v>
      </c>
      <c r="AC8" s="37">
        <f>+ROUND(H8/F8*AB8,)</f>
        <v>1675962</v>
      </c>
      <c r="AD8" s="37">
        <f>+AA8+AC8</f>
        <v>15542826</v>
      </c>
      <c r="AE8" s="40">
        <f t="shared" ref="AE8:AE13" si="14">+$AE$4-$AB$4</f>
        <v>365</v>
      </c>
      <c r="AF8" s="36">
        <f>ROUND(H8/F8*AE8,)</f>
        <v>1675962</v>
      </c>
      <c r="AG8" s="36">
        <f>H8-AD8-AF8</f>
        <v>148807068</v>
      </c>
      <c r="AH8" s="41"/>
    </row>
    <row r="9" spans="2:34" x14ac:dyDescent="0.3">
      <c r="B9" s="31">
        <v>2</v>
      </c>
      <c r="C9" s="32" t="s">
        <v>48</v>
      </c>
      <c r="D9" s="33">
        <v>39806</v>
      </c>
      <c r="E9" s="33">
        <v>75963</v>
      </c>
      <c r="F9" s="32">
        <f t="shared" si="0"/>
        <v>36158</v>
      </c>
      <c r="G9" s="32"/>
      <c r="H9" s="34">
        <f>9277618*0</f>
        <v>0</v>
      </c>
      <c r="I9" s="35">
        <f>$I$4-D9+1</f>
        <v>1194</v>
      </c>
      <c r="J9" s="36">
        <f>ROUND(H9/F9*I9,)</f>
        <v>0</v>
      </c>
      <c r="K9" s="32">
        <f>$K$4-$I$4</f>
        <v>365</v>
      </c>
      <c r="L9" s="36">
        <f>ROUND(H9/F9*K9,)</f>
        <v>0</v>
      </c>
      <c r="M9" s="37">
        <f t="shared" si="1"/>
        <v>0</v>
      </c>
      <c r="N9" s="38">
        <f t="shared" si="2"/>
        <v>0</v>
      </c>
      <c r="O9" s="39">
        <f t="shared" si="3"/>
        <v>0</v>
      </c>
      <c r="P9" s="40">
        <f t="shared" si="4"/>
        <v>365</v>
      </c>
      <c r="Q9" s="36">
        <f t="shared" si="5"/>
        <v>0</v>
      </c>
      <c r="R9" s="37">
        <f t="shared" si="6"/>
        <v>0</v>
      </c>
      <c r="S9" s="40">
        <f t="shared" si="7"/>
        <v>365</v>
      </c>
      <c r="T9" s="36">
        <f>ROUND(H9/F9*S9,)</f>
        <v>0</v>
      </c>
      <c r="U9" s="37">
        <f t="shared" si="9"/>
        <v>0</v>
      </c>
      <c r="V9" s="40">
        <f t="shared" si="10"/>
        <v>366</v>
      </c>
      <c r="W9" s="36">
        <f t="shared" si="11"/>
        <v>0</v>
      </c>
      <c r="X9" s="37">
        <f t="shared" si="12"/>
        <v>0</v>
      </c>
      <c r="Y9" s="40">
        <f t="shared" si="13"/>
        <v>365</v>
      </c>
      <c r="Z9" s="36">
        <f t="shared" ref="Z9:Z13" si="15">+ROUND(H9/F9*Y9,)</f>
        <v>0</v>
      </c>
      <c r="AA9" s="37">
        <f t="shared" ref="AA9:AA13" si="16">+X9+Z9</f>
        <v>0</v>
      </c>
      <c r="AB9" s="37">
        <f>$AB$4-$Y$4</f>
        <v>365</v>
      </c>
      <c r="AC9" s="37">
        <f t="shared" ref="AC9:AC13" si="17">+ROUND(H9/F9*AB9,)</f>
        <v>0</v>
      </c>
      <c r="AD9" s="37">
        <f t="shared" ref="AD9:AD13" si="18">+AA9+AC9</f>
        <v>0</v>
      </c>
      <c r="AE9" s="40">
        <f t="shared" si="14"/>
        <v>365</v>
      </c>
      <c r="AF9" s="36">
        <f t="shared" ref="AF9:AF10" si="19">ROUND(H9/F9*AE9,)</f>
        <v>0</v>
      </c>
      <c r="AG9" s="36">
        <f t="shared" ref="AG9:AG13" si="20">H9-AD9-AF9</f>
        <v>0</v>
      </c>
    </row>
    <row r="10" spans="2:34" ht="26.4" x14ac:dyDescent="0.3">
      <c r="B10" s="31" t="s">
        <v>49</v>
      </c>
      <c r="C10" s="42" t="s">
        <v>50</v>
      </c>
      <c r="D10" s="33">
        <v>41033</v>
      </c>
      <c r="E10" s="33">
        <v>75963</v>
      </c>
      <c r="F10" s="32">
        <f t="shared" si="0"/>
        <v>34931</v>
      </c>
      <c r="G10" s="32"/>
      <c r="H10" s="34">
        <f>12200111*0</f>
        <v>0</v>
      </c>
      <c r="I10" s="35"/>
      <c r="J10" s="36"/>
      <c r="K10" s="32">
        <f>$K$4-D10+1</f>
        <v>332</v>
      </c>
      <c r="L10" s="36">
        <f>ROUND(H10/F10*K10,)</f>
        <v>0</v>
      </c>
      <c r="M10" s="37">
        <f>J10+L10</f>
        <v>0</v>
      </c>
      <c r="N10" s="38">
        <f>ROUND(H10/F10*(I10+K10),)</f>
        <v>0</v>
      </c>
      <c r="O10" s="39">
        <f t="shared" si="3"/>
        <v>0</v>
      </c>
      <c r="P10" s="40">
        <f t="shared" si="4"/>
        <v>365</v>
      </c>
      <c r="Q10" s="36">
        <f t="shared" si="5"/>
        <v>0</v>
      </c>
      <c r="R10" s="37">
        <f t="shared" si="6"/>
        <v>0</v>
      </c>
      <c r="S10" s="40">
        <f t="shared" si="7"/>
        <v>365</v>
      </c>
      <c r="T10" s="36">
        <f t="shared" si="8"/>
        <v>0</v>
      </c>
      <c r="U10" s="37">
        <f t="shared" si="9"/>
        <v>0</v>
      </c>
      <c r="V10" s="40">
        <f t="shared" si="10"/>
        <v>366</v>
      </c>
      <c r="W10" s="36">
        <f t="shared" si="11"/>
        <v>0</v>
      </c>
      <c r="X10" s="37">
        <f t="shared" si="12"/>
        <v>0</v>
      </c>
      <c r="Y10" s="40">
        <f t="shared" si="13"/>
        <v>365</v>
      </c>
      <c r="Z10" s="36">
        <f t="shared" si="15"/>
        <v>0</v>
      </c>
      <c r="AA10" s="37">
        <f t="shared" si="16"/>
        <v>0</v>
      </c>
      <c r="AB10" s="37">
        <f>$AB$4-$Y$4</f>
        <v>365</v>
      </c>
      <c r="AC10" s="37">
        <f t="shared" si="17"/>
        <v>0</v>
      </c>
      <c r="AD10" s="37">
        <f t="shared" si="18"/>
        <v>0</v>
      </c>
      <c r="AE10" s="40">
        <f t="shared" si="14"/>
        <v>365</v>
      </c>
      <c r="AF10" s="36">
        <f t="shared" si="19"/>
        <v>0</v>
      </c>
      <c r="AG10" s="36">
        <f t="shared" si="20"/>
        <v>0</v>
      </c>
    </row>
    <row r="11" spans="2:34" ht="39.6" x14ac:dyDescent="0.3">
      <c r="B11" s="31" t="s">
        <v>51</v>
      </c>
      <c r="C11" s="42" t="s">
        <v>52</v>
      </c>
      <c r="D11" s="33">
        <v>41033</v>
      </c>
      <c r="E11" s="33">
        <v>75963</v>
      </c>
      <c r="F11" s="32">
        <f t="shared" si="0"/>
        <v>34931</v>
      </c>
      <c r="G11" s="32"/>
      <c r="H11" s="34">
        <f>8713823</f>
        <v>8713823</v>
      </c>
      <c r="I11" s="35"/>
      <c r="J11" s="36"/>
      <c r="K11" s="32">
        <f>$K$4-D11+1</f>
        <v>332</v>
      </c>
      <c r="L11" s="36">
        <f>ROUND(H11/F11*K11,)</f>
        <v>82820</v>
      </c>
      <c r="M11" s="37">
        <f>J11+L11</f>
        <v>82820</v>
      </c>
      <c r="N11" s="38">
        <f>ROUND(H11/F11*(I11+K11),)</f>
        <v>82820</v>
      </c>
      <c r="O11" s="39">
        <f t="shared" si="3"/>
        <v>0</v>
      </c>
      <c r="P11" s="40">
        <f t="shared" si="4"/>
        <v>365</v>
      </c>
      <c r="Q11" s="36">
        <f t="shared" si="5"/>
        <v>91052</v>
      </c>
      <c r="R11" s="37">
        <f t="shared" si="6"/>
        <v>173872</v>
      </c>
      <c r="S11" s="40">
        <f t="shared" si="7"/>
        <v>365</v>
      </c>
      <c r="T11" s="36">
        <f t="shared" si="8"/>
        <v>91052</v>
      </c>
      <c r="U11" s="37">
        <f t="shared" si="9"/>
        <v>264924</v>
      </c>
      <c r="V11" s="40">
        <f t="shared" si="10"/>
        <v>366</v>
      </c>
      <c r="W11" s="36">
        <f t="shared" si="11"/>
        <v>91302</v>
      </c>
      <c r="X11" s="37">
        <f t="shared" si="12"/>
        <v>356226</v>
      </c>
      <c r="Y11" s="40">
        <f t="shared" si="13"/>
        <v>365</v>
      </c>
      <c r="Z11" s="36">
        <f t="shared" si="15"/>
        <v>91052</v>
      </c>
      <c r="AA11" s="37">
        <f t="shared" si="16"/>
        <v>447278</v>
      </c>
      <c r="AB11" s="37">
        <f t="shared" ref="AB11:AB13" si="21">$AB$4-$Y$4</f>
        <v>365</v>
      </c>
      <c r="AC11" s="37">
        <f t="shared" si="17"/>
        <v>91052</v>
      </c>
      <c r="AD11" s="37">
        <f t="shared" si="18"/>
        <v>538330</v>
      </c>
      <c r="AE11" s="40">
        <f t="shared" si="14"/>
        <v>365</v>
      </c>
      <c r="AF11" s="36">
        <f>ROUND(H11/F11*AE11,)</f>
        <v>91052</v>
      </c>
      <c r="AG11" s="36">
        <f t="shared" si="20"/>
        <v>8084441</v>
      </c>
      <c r="AH11" s="41"/>
    </row>
    <row r="12" spans="2:34" x14ac:dyDescent="0.3">
      <c r="B12" s="31">
        <v>5</v>
      </c>
      <c r="C12" s="32" t="s">
        <v>53</v>
      </c>
      <c r="D12" s="33">
        <v>40269</v>
      </c>
      <c r="E12" s="33">
        <v>75963</v>
      </c>
      <c r="F12" s="32">
        <f t="shared" si="0"/>
        <v>35695</v>
      </c>
      <c r="G12" s="32"/>
      <c r="H12" s="34">
        <v>253248000</v>
      </c>
      <c r="I12" s="35">
        <f>$I$4-D12+1</f>
        <v>731</v>
      </c>
      <c r="J12" s="36">
        <f>ROUND(H12/F12*I12,)</f>
        <v>5186281</v>
      </c>
      <c r="K12" s="32">
        <f>$K$4-$I$4</f>
        <v>365</v>
      </c>
      <c r="L12" s="36">
        <f>ROUND(H12/F12*K12,)-1</f>
        <v>2589592</v>
      </c>
      <c r="M12" s="37">
        <f t="shared" si="1"/>
        <v>7775873</v>
      </c>
      <c r="N12" s="38">
        <f t="shared" si="2"/>
        <v>7775874</v>
      </c>
      <c r="O12" s="39">
        <f t="shared" si="3"/>
        <v>-1</v>
      </c>
      <c r="P12" s="40">
        <f t="shared" si="4"/>
        <v>365</v>
      </c>
      <c r="Q12" s="36">
        <f t="shared" si="5"/>
        <v>2589593</v>
      </c>
      <c r="R12" s="37">
        <f t="shared" si="6"/>
        <v>10365466</v>
      </c>
      <c r="S12" s="40">
        <f t="shared" si="7"/>
        <v>365</v>
      </c>
      <c r="T12" s="36">
        <f t="shared" si="8"/>
        <v>2589593</v>
      </c>
      <c r="U12" s="37">
        <f t="shared" si="9"/>
        <v>12955059</v>
      </c>
      <c r="V12" s="40">
        <f t="shared" si="10"/>
        <v>366</v>
      </c>
      <c r="W12" s="36">
        <f t="shared" si="11"/>
        <v>2596688</v>
      </c>
      <c r="X12" s="37">
        <f t="shared" si="12"/>
        <v>15551747</v>
      </c>
      <c r="Y12" s="40">
        <f t="shared" si="13"/>
        <v>365</v>
      </c>
      <c r="Z12" s="36">
        <f t="shared" si="15"/>
        <v>2589593</v>
      </c>
      <c r="AA12" s="37">
        <f t="shared" si="16"/>
        <v>18141340</v>
      </c>
      <c r="AB12" s="37">
        <f t="shared" si="21"/>
        <v>365</v>
      </c>
      <c r="AC12" s="37">
        <f t="shared" si="17"/>
        <v>2589593</v>
      </c>
      <c r="AD12" s="37">
        <f t="shared" si="18"/>
        <v>20730933</v>
      </c>
      <c r="AE12" s="40">
        <f t="shared" si="14"/>
        <v>365</v>
      </c>
      <c r="AF12" s="36">
        <f>ROUND(H12/F12*AE12,)</f>
        <v>2589593</v>
      </c>
      <c r="AG12" s="36">
        <f t="shared" si="20"/>
        <v>229927474</v>
      </c>
      <c r="AH12" s="41"/>
    </row>
    <row r="13" spans="2:34" x14ac:dyDescent="0.3">
      <c r="B13" s="31">
        <v>6</v>
      </c>
      <c r="C13" s="42" t="s">
        <v>54</v>
      </c>
      <c r="D13" s="33">
        <v>40269</v>
      </c>
      <c r="E13" s="33">
        <v>75963</v>
      </c>
      <c r="F13" s="32">
        <f t="shared" si="0"/>
        <v>35695</v>
      </c>
      <c r="G13" s="32"/>
      <c r="H13" s="36">
        <v>33277500</v>
      </c>
      <c r="I13" s="35">
        <f>$I$4-D13+1</f>
        <v>731</v>
      </c>
      <c r="J13" s="36">
        <f>ROUND(H13/F13*I13,)+5430</f>
        <v>686922</v>
      </c>
      <c r="K13" s="32">
        <f>$K$4-$I$4</f>
        <v>365</v>
      </c>
      <c r="L13" s="36">
        <f>ROUND(H13/F13*K13,)-5430</f>
        <v>334850</v>
      </c>
      <c r="M13" s="37">
        <f t="shared" si="1"/>
        <v>1021772</v>
      </c>
      <c r="N13" s="38">
        <f t="shared" si="2"/>
        <v>1021772</v>
      </c>
      <c r="O13" s="39">
        <f t="shared" si="3"/>
        <v>0</v>
      </c>
      <c r="P13" s="40">
        <f t="shared" si="4"/>
        <v>365</v>
      </c>
      <c r="Q13" s="36">
        <f t="shared" si="5"/>
        <v>340280</v>
      </c>
      <c r="R13" s="37">
        <f t="shared" si="6"/>
        <v>1362052</v>
      </c>
      <c r="S13" s="40">
        <f t="shared" si="7"/>
        <v>365</v>
      </c>
      <c r="T13" s="36">
        <f t="shared" si="8"/>
        <v>340280</v>
      </c>
      <c r="U13" s="37">
        <f t="shared" si="9"/>
        <v>1702332</v>
      </c>
      <c r="V13" s="40">
        <f t="shared" si="10"/>
        <v>366</v>
      </c>
      <c r="W13" s="36">
        <f t="shared" si="11"/>
        <v>341212</v>
      </c>
      <c r="X13" s="37">
        <f t="shared" si="12"/>
        <v>2043544</v>
      </c>
      <c r="Y13" s="40">
        <f t="shared" si="13"/>
        <v>365</v>
      </c>
      <c r="Z13" s="36">
        <f t="shared" si="15"/>
        <v>340280</v>
      </c>
      <c r="AA13" s="37">
        <f t="shared" si="16"/>
        <v>2383824</v>
      </c>
      <c r="AB13" s="37">
        <f t="shared" si="21"/>
        <v>365</v>
      </c>
      <c r="AC13" s="37">
        <f t="shared" si="17"/>
        <v>340280</v>
      </c>
      <c r="AD13" s="37">
        <f t="shared" si="18"/>
        <v>2724104</v>
      </c>
      <c r="AE13" s="40">
        <f t="shared" si="14"/>
        <v>365</v>
      </c>
      <c r="AF13" s="36">
        <f>ROUND(H13/F13*AE13,)</f>
        <v>340280</v>
      </c>
      <c r="AG13" s="36">
        <f t="shared" si="20"/>
        <v>30213116</v>
      </c>
      <c r="AH13" s="41"/>
    </row>
    <row r="14" spans="2:34" x14ac:dyDescent="0.3">
      <c r="B14" s="31"/>
      <c r="C14" s="42"/>
      <c r="D14" s="33"/>
      <c r="E14" s="33"/>
      <c r="F14" s="32"/>
      <c r="G14" s="32"/>
      <c r="H14" s="36"/>
      <c r="I14" s="35"/>
      <c r="J14" s="36"/>
      <c r="K14" s="32"/>
      <c r="L14" s="36"/>
      <c r="M14" s="37"/>
      <c r="N14" s="38"/>
      <c r="O14" s="39"/>
      <c r="P14" s="40"/>
      <c r="Q14" s="36"/>
      <c r="R14" s="37"/>
      <c r="S14" s="40"/>
      <c r="T14" s="36"/>
      <c r="U14" s="37"/>
      <c r="V14" s="40"/>
      <c r="W14" s="36"/>
      <c r="X14" s="37"/>
      <c r="Y14" s="40"/>
      <c r="Z14" s="36"/>
      <c r="AA14" s="37"/>
      <c r="AB14" s="37"/>
      <c r="AC14" s="37"/>
      <c r="AD14" s="37"/>
      <c r="AE14" s="40"/>
      <c r="AF14" s="36"/>
      <c r="AG14" s="36"/>
    </row>
    <row r="15" spans="2:34" x14ac:dyDescent="0.3">
      <c r="B15" s="31"/>
      <c r="C15" s="43" t="s">
        <v>55</v>
      </c>
      <c r="D15" s="44"/>
      <c r="E15" s="44"/>
      <c r="F15" s="45"/>
      <c r="G15" s="45">
        <f>+SUM(G8:G14)</f>
        <v>512.69000000000005</v>
      </c>
      <c r="H15" s="46">
        <f>+SUM(H8:H14)</f>
        <v>461265179</v>
      </c>
      <c r="I15" s="47"/>
      <c r="J15" s="46">
        <f>+SUM(J8:J14)</f>
        <v>11360255</v>
      </c>
      <c r="K15" s="48"/>
      <c r="L15" s="46">
        <f>+SUM(L8:L14)</f>
        <v>4678634</v>
      </c>
      <c r="M15" s="46">
        <f>+SUM(M8:M14)</f>
        <v>16038889</v>
      </c>
      <c r="N15" s="49">
        <f>+SUM(N8:N14)</f>
        <v>16038890</v>
      </c>
      <c r="P15" s="48"/>
      <c r="Q15" s="46">
        <f>+SUM(Q8:Q14)</f>
        <v>4696887</v>
      </c>
      <c r="R15" s="46">
        <f>+SUM(R8:R14)</f>
        <v>20735776</v>
      </c>
      <c r="S15" s="48"/>
      <c r="T15" s="46">
        <f>+SUM(T8:T14)</f>
        <v>4696887</v>
      </c>
      <c r="U15" s="46">
        <f>+SUM(U8:U14)</f>
        <v>25432663</v>
      </c>
      <c r="V15" s="48"/>
      <c r="W15" s="46">
        <f>+SUM(W8:W14)</f>
        <v>4709756</v>
      </c>
      <c r="X15" s="46">
        <f>+SUM(X8:X14)</f>
        <v>30142419</v>
      </c>
      <c r="Y15" s="48"/>
      <c r="Z15" s="46">
        <f>+SUM(Z8:Z14)</f>
        <v>4696887</v>
      </c>
      <c r="AA15" s="46">
        <f>+SUM(AA8:AA14)</f>
        <v>34839306</v>
      </c>
      <c r="AB15" s="46"/>
      <c r="AC15" s="46">
        <f>+SUM(AC8:AC14)</f>
        <v>4696887</v>
      </c>
      <c r="AD15" s="46">
        <f>+SUM(AD8:AD14)</f>
        <v>39536193</v>
      </c>
      <c r="AE15" s="48"/>
      <c r="AF15" s="46">
        <f>+SUM(AF8:AF14)</f>
        <v>4696887</v>
      </c>
      <c r="AG15" s="46">
        <f>+SUM(AG8:AG14)</f>
        <v>417032099</v>
      </c>
    </row>
    <row r="16" spans="2:34" s="58" customFormat="1" x14ac:dyDescent="0.3">
      <c r="B16" s="50"/>
      <c r="C16" s="51" t="s">
        <v>56</v>
      </c>
      <c r="D16" s="52"/>
      <c r="E16" s="52"/>
      <c r="F16" s="53"/>
      <c r="G16" s="53"/>
      <c r="H16" s="54"/>
      <c r="I16" s="55"/>
      <c r="J16" s="54"/>
      <c r="K16" s="56"/>
      <c r="L16" s="54"/>
      <c r="M16" s="54"/>
      <c r="N16" s="57"/>
      <c r="P16" s="56"/>
      <c r="Q16" s="54"/>
      <c r="R16" s="54"/>
      <c r="S16" s="56"/>
      <c r="T16" s="54"/>
      <c r="U16" s="54"/>
      <c r="V16" s="56"/>
      <c r="W16" s="54"/>
      <c r="X16" s="54"/>
      <c r="Y16" s="56"/>
      <c r="Z16" s="54"/>
      <c r="AA16" s="54"/>
      <c r="AB16" s="54"/>
      <c r="AC16" s="54"/>
      <c r="AD16" s="54"/>
      <c r="AE16" s="56"/>
      <c r="AF16" s="54"/>
      <c r="AG16" s="54"/>
    </row>
    <row r="17" spans="2:34" x14ac:dyDescent="0.3">
      <c r="B17" s="59" t="s">
        <v>57</v>
      </c>
      <c r="C17" s="60" t="s">
        <v>58</v>
      </c>
      <c r="D17" s="32"/>
      <c r="E17" s="32"/>
      <c r="F17" s="32"/>
      <c r="G17" s="32"/>
      <c r="H17" s="36">
        <f>2313422*0</f>
        <v>0</v>
      </c>
      <c r="I17" s="35"/>
      <c r="J17" s="36"/>
      <c r="K17" s="32"/>
      <c r="L17" s="36"/>
      <c r="M17" s="32"/>
      <c r="N17" s="61"/>
      <c r="P17" s="32"/>
      <c r="Q17" s="36"/>
      <c r="R17" s="32"/>
      <c r="S17" s="32"/>
      <c r="T17" s="36"/>
      <c r="U17" s="32"/>
      <c r="V17" s="32"/>
      <c r="W17" s="36"/>
      <c r="X17" s="32"/>
      <c r="Y17" s="32"/>
      <c r="Z17" s="36"/>
      <c r="AA17" s="32"/>
      <c r="AB17" s="32"/>
      <c r="AC17" s="32"/>
      <c r="AD17" s="32"/>
      <c r="AE17" s="32"/>
      <c r="AF17" s="36"/>
      <c r="AG17" s="36"/>
    </row>
    <row r="18" spans="2:34" ht="39.6" x14ac:dyDescent="0.3">
      <c r="B18" s="31">
        <v>1</v>
      </c>
      <c r="C18" s="42" t="s">
        <v>59</v>
      </c>
      <c r="D18" s="33">
        <v>40312</v>
      </c>
      <c r="E18" s="33">
        <v>76470</v>
      </c>
      <c r="F18" s="32">
        <f>E18-D18+1</f>
        <v>36159</v>
      </c>
      <c r="G18" s="32">
        <f>429.35-111.28</f>
        <v>318.07000000000005</v>
      </c>
      <c r="H18" s="34">
        <f>119679775-31093747</f>
        <v>88586028</v>
      </c>
      <c r="I18" s="35">
        <f>$I$4-D18+1</f>
        <v>688</v>
      </c>
      <c r="J18" s="36">
        <f>ROUND(H18/F18*I18,)+56</f>
        <v>1685589</v>
      </c>
      <c r="K18" s="32">
        <f>$K$4-$I$4</f>
        <v>365</v>
      </c>
      <c r="L18" s="36">
        <f>ROUND(H18/F18*K18,)-56</f>
        <v>894158</v>
      </c>
      <c r="M18" s="37">
        <f>J18+L18</f>
        <v>2579747</v>
      </c>
      <c r="N18" s="38">
        <f>ROUND(H18/F18*(I18+K18),)</f>
        <v>2579747</v>
      </c>
      <c r="O18" s="39">
        <f>+M18-N18</f>
        <v>0</v>
      </c>
      <c r="P18" s="40">
        <f>+$P$4-$K$4</f>
        <v>365</v>
      </c>
      <c r="Q18" s="36">
        <f>ROUND(H18/F18*P18,)</f>
        <v>894214</v>
      </c>
      <c r="R18" s="37">
        <f>+M18+Q18</f>
        <v>3473961</v>
      </c>
      <c r="S18" s="40">
        <f>+$S$4-$P$4</f>
        <v>365</v>
      </c>
      <c r="T18" s="36">
        <f>ROUND(H18/F18*S18,)</f>
        <v>894214</v>
      </c>
      <c r="U18" s="37">
        <f>+R18+T18</f>
        <v>4368175</v>
      </c>
      <c r="V18" s="40">
        <f>$V$4-$S$4</f>
        <v>366</v>
      </c>
      <c r="W18" s="36">
        <f>ROUND(H18/F18*V18,)</f>
        <v>896664</v>
      </c>
      <c r="X18" s="37">
        <f>+U18+W18</f>
        <v>5264839</v>
      </c>
      <c r="Y18" s="40">
        <f>+$Y$4-$V$4</f>
        <v>365</v>
      </c>
      <c r="Z18" s="36">
        <f>+ROUND(H18/F18*Y18,)</f>
        <v>894214</v>
      </c>
      <c r="AA18" s="37">
        <f>+X18+Z18</f>
        <v>6159053</v>
      </c>
      <c r="AB18" s="37">
        <f t="shared" ref="AB18:AB22" si="22">$AB$4-$Y$4</f>
        <v>365</v>
      </c>
      <c r="AC18" s="37">
        <f t="shared" ref="AC18:AC20" si="23">+ROUND(H18/F18*AB18,)</f>
        <v>894214</v>
      </c>
      <c r="AD18" s="37">
        <f t="shared" ref="AD18:AD22" si="24">+AA18+AC18</f>
        <v>7053267</v>
      </c>
      <c r="AE18" s="40">
        <f t="shared" ref="AE18:AE22" si="25">+$AE$4-$AB$4</f>
        <v>365</v>
      </c>
      <c r="AF18" s="36">
        <f t="shared" ref="AF18:AF22" si="26">ROUND(H18/F18*AE18,)</f>
        <v>894214</v>
      </c>
      <c r="AG18" s="36">
        <f t="shared" ref="AG18:AG22" si="27">H18-AD18-AF18</f>
        <v>80638547</v>
      </c>
      <c r="AH18" s="41"/>
    </row>
    <row r="19" spans="2:34" x14ac:dyDescent="0.3">
      <c r="B19" s="31">
        <v>2</v>
      </c>
      <c r="C19" s="42" t="s">
        <v>60</v>
      </c>
      <c r="D19" s="33">
        <v>40312</v>
      </c>
      <c r="E19" s="33">
        <v>76470</v>
      </c>
      <c r="F19" s="32">
        <f>E19-D19+1</f>
        <v>36159</v>
      </c>
      <c r="G19" s="32"/>
      <c r="H19" s="34">
        <f>6702327*0</f>
        <v>0</v>
      </c>
      <c r="I19" s="35">
        <f>$I$4-D19+1</f>
        <v>688</v>
      </c>
      <c r="J19" s="36">
        <f>ROUND(H19/F19*I19,)</f>
        <v>0</v>
      </c>
      <c r="K19" s="32">
        <f>$K$4-$I$4</f>
        <v>365</v>
      </c>
      <c r="L19" s="36">
        <f>ROUND(H19/F19*K19,)</f>
        <v>0</v>
      </c>
      <c r="M19" s="37">
        <f>J19+L19</f>
        <v>0</v>
      </c>
      <c r="N19" s="38">
        <f>ROUND(H19/F19*(I19+K19),)</f>
        <v>0</v>
      </c>
      <c r="O19" s="39">
        <f>+M19-N19</f>
        <v>0</v>
      </c>
      <c r="P19" s="40">
        <f>+$P$4-$K$4</f>
        <v>365</v>
      </c>
      <c r="Q19" s="36">
        <f>ROUND(H19/F19*P19,)</f>
        <v>0</v>
      </c>
      <c r="R19" s="37">
        <f>+M19+Q19</f>
        <v>0</v>
      </c>
      <c r="S19" s="40">
        <f>+$S$4-$P$4</f>
        <v>365</v>
      </c>
      <c r="T19" s="36">
        <f>ROUND(H19/F19*S19,)</f>
        <v>0</v>
      </c>
      <c r="U19" s="37">
        <f>+R19+T19</f>
        <v>0</v>
      </c>
      <c r="V19" s="40">
        <f>$V$4-$S$4</f>
        <v>366</v>
      </c>
      <c r="W19" s="36">
        <f>ROUND(H19/F19*V19,)</f>
        <v>0</v>
      </c>
      <c r="X19" s="37">
        <f>+U19+W19</f>
        <v>0</v>
      </c>
      <c r="Y19" s="40">
        <f>+$Y$4-$V$4</f>
        <v>365</v>
      </c>
      <c r="Z19" s="36">
        <f>+ROUND(H19/F19*Y19,)</f>
        <v>0</v>
      </c>
      <c r="AA19" s="37">
        <f>+X19+Z19</f>
        <v>0</v>
      </c>
      <c r="AB19" s="37">
        <f t="shared" si="22"/>
        <v>365</v>
      </c>
      <c r="AC19" s="37">
        <f t="shared" si="23"/>
        <v>0</v>
      </c>
      <c r="AD19" s="37">
        <f t="shared" si="24"/>
        <v>0</v>
      </c>
      <c r="AE19" s="40">
        <f t="shared" si="25"/>
        <v>365</v>
      </c>
      <c r="AF19" s="36">
        <f t="shared" si="26"/>
        <v>0</v>
      </c>
      <c r="AG19" s="36">
        <f t="shared" si="27"/>
        <v>0</v>
      </c>
    </row>
    <row r="20" spans="2:34" x14ac:dyDescent="0.3">
      <c r="B20" s="31">
        <v>3</v>
      </c>
      <c r="C20" s="42" t="s">
        <v>61</v>
      </c>
      <c r="D20" s="33">
        <v>40312</v>
      </c>
      <c r="E20" s="33">
        <v>76470</v>
      </c>
      <c r="F20" s="32">
        <f>E20-D20+1</f>
        <v>36159</v>
      </c>
      <c r="G20" s="32"/>
      <c r="H20" s="34">
        <v>1367768</v>
      </c>
      <c r="I20" s="35">
        <f>$I$4-D20+1</f>
        <v>688</v>
      </c>
      <c r="J20" s="36">
        <f>ROUND(H20/F20*I20,)+3</f>
        <v>26028</v>
      </c>
      <c r="K20" s="32">
        <f>$K$4-$I$4</f>
        <v>365</v>
      </c>
      <c r="L20" s="36">
        <f>ROUND(H20/F20*K20,)-4</f>
        <v>13803</v>
      </c>
      <c r="M20" s="37">
        <f>J20+L20</f>
        <v>39831</v>
      </c>
      <c r="N20" s="38">
        <f>ROUND(H20/F20*(I20+K20),)</f>
        <v>39831</v>
      </c>
      <c r="O20" s="39">
        <f>+M20-N20</f>
        <v>0</v>
      </c>
      <c r="P20" s="40">
        <f>+$P$4-$K$4</f>
        <v>365</v>
      </c>
      <c r="Q20" s="36">
        <f>ROUND(H20/F20*P20,)</f>
        <v>13807</v>
      </c>
      <c r="R20" s="37">
        <f>+M20+Q20</f>
        <v>53638</v>
      </c>
      <c r="S20" s="40">
        <f>+$S$4-$P$4</f>
        <v>365</v>
      </c>
      <c r="T20" s="36">
        <f>ROUND(H20/F20*S20,)</f>
        <v>13807</v>
      </c>
      <c r="U20" s="37">
        <f>+R20+T20</f>
        <v>67445</v>
      </c>
      <c r="V20" s="40">
        <f>$V$4-$S$4</f>
        <v>366</v>
      </c>
      <c r="W20" s="36">
        <f>ROUND(H20/F20*V20,)</f>
        <v>13844</v>
      </c>
      <c r="X20" s="37">
        <f>+U20+W20</f>
        <v>81289</v>
      </c>
      <c r="Y20" s="40">
        <f>+$Y$4-$V$4</f>
        <v>365</v>
      </c>
      <c r="Z20" s="36">
        <f>+ROUND(H20/F20*Y20,)</f>
        <v>13807</v>
      </c>
      <c r="AA20" s="37">
        <f>+X20+Z20</f>
        <v>95096</v>
      </c>
      <c r="AB20" s="37">
        <f t="shared" si="22"/>
        <v>365</v>
      </c>
      <c r="AC20" s="37">
        <f t="shared" si="23"/>
        <v>13807</v>
      </c>
      <c r="AD20" s="37">
        <f t="shared" si="24"/>
        <v>108903</v>
      </c>
      <c r="AE20" s="40">
        <f t="shared" si="25"/>
        <v>365</v>
      </c>
      <c r="AF20" s="36">
        <f t="shared" si="26"/>
        <v>13807</v>
      </c>
      <c r="AG20" s="36">
        <f t="shared" si="27"/>
        <v>1245058</v>
      </c>
      <c r="AH20" s="41"/>
    </row>
    <row r="21" spans="2:34" x14ac:dyDescent="0.3">
      <c r="B21" s="31">
        <v>4</v>
      </c>
      <c r="C21" s="62" t="s">
        <v>62</v>
      </c>
      <c r="D21" s="63">
        <v>40312</v>
      </c>
      <c r="E21" s="63">
        <v>76470</v>
      </c>
      <c r="F21" s="64">
        <f>E21-D21+1</f>
        <v>36159</v>
      </c>
      <c r="G21" s="65">
        <f>-143.34</f>
        <v>-143.34</v>
      </c>
      <c r="H21" s="66">
        <f>-40316829+2339884</f>
        <v>-37976945</v>
      </c>
      <c r="I21" s="67"/>
      <c r="J21" s="66"/>
      <c r="K21" s="64"/>
      <c r="L21" s="66"/>
      <c r="M21" s="68"/>
      <c r="N21" s="69"/>
      <c r="O21" s="70"/>
      <c r="P21" s="71"/>
      <c r="Q21" s="66"/>
      <c r="R21" s="68"/>
      <c r="S21" s="71">
        <f>+S4-D21+1</f>
        <v>1783</v>
      </c>
      <c r="T21" s="66">
        <f>ROUND(H21/F21*S21,)</f>
        <v>-1872643</v>
      </c>
      <c r="U21" s="68">
        <f>+R21+T21</f>
        <v>-1872643</v>
      </c>
      <c r="V21" s="40">
        <f>$V$4-$S$4</f>
        <v>366</v>
      </c>
      <c r="W21" s="36">
        <f>ROUND(H21/F21*V21,)</f>
        <v>-384401</v>
      </c>
      <c r="X21" s="37">
        <f>+U21+W21</f>
        <v>-2257044</v>
      </c>
      <c r="Y21" s="40">
        <f>+$Y$4-$V$4</f>
        <v>365</v>
      </c>
      <c r="Z21" s="36">
        <f>+ROUND(H21/F21*Y21,)</f>
        <v>-383351</v>
      </c>
      <c r="AA21" s="37">
        <f>+X21+Z21</f>
        <v>-2640395</v>
      </c>
      <c r="AB21" s="37">
        <f t="shared" si="22"/>
        <v>365</v>
      </c>
      <c r="AC21" s="37">
        <f>+ROUND(H21/F21*AB21,)</f>
        <v>-383351</v>
      </c>
      <c r="AD21" s="37">
        <f t="shared" si="24"/>
        <v>-3023746</v>
      </c>
      <c r="AE21" s="40">
        <f t="shared" si="25"/>
        <v>365</v>
      </c>
      <c r="AF21" s="36">
        <f t="shared" si="26"/>
        <v>-383351</v>
      </c>
      <c r="AG21" s="36">
        <f t="shared" si="27"/>
        <v>-34569848</v>
      </c>
      <c r="AH21" s="41"/>
    </row>
    <row r="22" spans="2:34" ht="26.4" x14ac:dyDescent="0.3">
      <c r="B22" s="31">
        <v>5</v>
      </c>
      <c r="C22" s="62" t="s">
        <v>63</v>
      </c>
      <c r="D22" s="63">
        <v>40312</v>
      </c>
      <c r="E22" s="63">
        <v>76470</v>
      </c>
      <c r="F22" s="64">
        <f>E22-D22+1</f>
        <v>36159</v>
      </c>
      <c r="G22" s="65">
        <f>-154.75</f>
        <v>-154.75</v>
      </c>
      <c r="H22" s="66">
        <f>-43270985+2313422</f>
        <v>-40957563</v>
      </c>
      <c r="I22" s="67"/>
      <c r="J22" s="66"/>
      <c r="K22" s="64"/>
      <c r="L22" s="66"/>
      <c r="M22" s="68"/>
      <c r="N22" s="69"/>
      <c r="O22" s="70"/>
      <c r="P22" s="71"/>
      <c r="Q22" s="66"/>
      <c r="R22" s="68"/>
      <c r="S22" s="71">
        <f>+S4-D22+1</f>
        <v>1783</v>
      </c>
      <c r="T22" s="66">
        <f>ROUND(H22/F22*S22,)</f>
        <v>-2019617</v>
      </c>
      <c r="U22" s="68">
        <f>+R22+T22</f>
        <v>-2019617</v>
      </c>
      <c r="V22" s="40">
        <f>$V$4-$S$4</f>
        <v>366</v>
      </c>
      <c r="W22" s="36">
        <f>ROUND(H22/F22*V22,)</f>
        <v>-414571</v>
      </c>
      <c r="X22" s="37">
        <f>+U22+W22</f>
        <v>-2434188</v>
      </c>
      <c r="Y22" s="40">
        <f>+$Y$4-$V$4</f>
        <v>365</v>
      </c>
      <c r="Z22" s="36">
        <f>+ROUND(H22/F22*Y22,)</f>
        <v>-413438</v>
      </c>
      <c r="AA22" s="37">
        <f>+X22+Z22</f>
        <v>-2847626</v>
      </c>
      <c r="AB22" s="37">
        <f t="shared" si="22"/>
        <v>365</v>
      </c>
      <c r="AC22" s="37">
        <f>+ROUND(H22/F22*AB22,)</f>
        <v>-413438</v>
      </c>
      <c r="AD22" s="37">
        <f t="shared" si="24"/>
        <v>-3261064</v>
      </c>
      <c r="AE22" s="40">
        <f t="shared" si="25"/>
        <v>365</v>
      </c>
      <c r="AF22" s="36">
        <f t="shared" si="26"/>
        <v>-413438</v>
      </c>
      <c r="AG22" s="36">
        <f t="shared" si="27"/>
        <v>-37283061</v>
      </c>
      <c r="AH22" s="41"/>
    </row>
    <row r="23" spans="2:34" x14ac:dyDescent="0.3">
      <c r="B23" s="31"/>
      <c r="C23" s="42"/>
      <c r="D23" s="33"/>
      <c r="E23" s="34"/>
      <c r="F23" s="32"/>
      <c r="G23" s="32"/>
      <c r="H23" s="36"/>
      <c r="I23" s="35"/>
      <c r="J23" s="36"/>
      <c r="K23" s="32"/>
      <c r="L23" s="36"/>
      <c r="M23" s="37"/>
      <c r="N23" s="38"/>
      <c r="O23" s="39"/>
      <c r="P23" s="32"/>
      <c r="Q23" s="36"/>
      <c r="R23" s="37"/>
      <c r="S23" s="32"/>
      <c r="T23" s="36"/>
      <c r="U23" s="37"/>
      <c r="V23" s="32"/>
      <c r="W23" s="36"/>
      <c r="X23" s="37"/>
      <c r="Y23" s="32"/>
      <c r="Z23" s="36"/>
      <c r="AA23" s="37"/>
      <c r="AB23" s="37"/>
      <c r="AC23" s="37"/>
      <c r="AD23" s="37"/>
      <c r="AE23" s="32"/>
      <c r="AF23" s="36"/>
      <c r="AG23" s="36"/>
    </row>
    <row r="24" spans="2:34" x14ac:dyDescent="0.3">
      <c r="B24" s="31"/>
      <c r="C24" s="43" t="s">
        <v>55</v>
      </c>
      <c r="D24" s="44"/>
      <c r="E24" s="44"/>
      <c r="F24" s="45"/>
      <c r="G24" s="45">
        <f>+SUM(G18:G23)</f>
        <v>19.980000000000047</v>
      </c>
      <c r="H24" s="46">
        <f>+SUM(H18:H23)</f>
        <v>11019288</v>
      </c>
      <c r="I24" s="47"/>
      <c r="J24" s="46">
        <f>+SUM(J18:J23)</f>
        <v>1711617</v>
      </c>
      <c r="K24" s="48"/>
      <c r="L24" s="46">
        <f>+SUM(L18:L23)</f>
        <v>907961</v>
      </c>
      <c r="M24" s="46">
        <f>+SUM(M18:M23)</f>
        <v>2619578</v>
      </c>
      <c r="N24" s="49">
        <f>+SUM(N18:N23)</f>
        <v>2619578</v>
      </c>
      <c r="P24" s="48"/>
      <c r="Q24" s="46">
        <f>+SUM(Q18:Q23)</f>
        <v>908021</v>
      </c>
      <c r="R24" s="46">
        <f>+SUM(R18:R23)</f>
        <v>3527599</v>
      </c>
      <c r="S24" s="48"/>
      <c r="T24" s="46">
        <f>+SUM(T18:T23)</f>
        <v>-2984239</v>
      </c>
      <c r="U24" s="46">
        <f>+SUM(U18:U23)</f>
        <v>543360</v>
      </c>
      <c r="V24" s="48"/>
      <c r="W24" s="46">
        <f>+SUM(W18:W23)</f>
        <v>111536</v>
      </c>
      <c r="X24" s="46">
        <f>+SUM(X18:X23)</f>
        <v>654896</v>
      </c>
      <c r="Y24" s="48"/>
      <c r="Z24" s="46">
        <f>+SUM(Z18:Z23)</f>
        <v>111232</v>
      </c>
      <c r="AA24" s="46">
        <f>+SUM(AA18:AA23)</f>
        <v>766128</v>
      </c>
      <c r="AB24" s="46"/>
      <c r="AC24" s="46">
        <f>+SUM(AC18:AC23)</f>
        <v>111232</v>
      </c>
      <c r="AD24" s="46">
        <f>+SUM(AD18:AD23)</f>
        <v>877360</v>
      </c>
      <c r="AE24" s="48"/>
      <c r="AF24" s="46">
        <f>+SUM(AF18:AF23)</f>
        <v>111232</v>
      </c>
      <c r="AG24" s="46">
        <f>+SUM(AG18:AG23)</f>
        <v>10030696</v>
      </c>
    </row>
    <row r="25" spans="2:34" x14ac:dyDescent="0.3">
      <c r="B25" s="59" t="s">
        <v>64</v>
      </c>
      <c r="C25" s="60" t="s">
        <v>65</v>
      </c>
      <c r="D25" s="32"/>
      <c r="E25" s="32"/>
      <c r="F25" s="32"/>
      <c r="G25" s="32"/>
      <c r="H25" s="36"/>
      <c r="I25" s="35"/>
      <c r="J25" s="36"/>
      <c r="K25" s="32"/>
      <c r="L25" s="36"/>
      <c r="M25" s="32"/>
      <c r="N25" s="61"/>
      <c r="P25" s="32"/>
      <c r="Q25" s="36"/>
      <c r="R25" s="32"/>
      <c r="S25" s="32"/>
      <c r="T25" s="36"/>
      <c r="U25" s="32"/>
      <c r="V25" s="32"/>
      <c r="W25" s="36"/>
      <c r="X25" s="32"/>
      <c r="Y25" s="32"/>
      <c r="Z25" s="36"/>
      <c r="AA25" s="32"/>
      <c r="AB25" s="32"/>
      <c r="AC25" s="32"/>
      <c r="AD25" s="32"/>
      <c r="AE25" s="32"/>
      <c r="AF25" s="36"/>
      <c r="AG25" s="36"/>
    </row>
    <row r="26" spans="2:34" ht="26.4" x14ac:dyDescent="0.3">
      <c r="B26" s="31">
        <v>1</v>
      </c>
      <c r="C26" s="42" t="s">
        <v>66</v>
      </c>
      <c r="D26" s="33">
        <v>40767</v>
      </c>
      <c r="E26" s="33">
        <v>76925</v>
      </c>
      <c r="F26" s="32">
        <f t="shared" ref="F26:F41" si="28">E26-D26+1</f>
        <v>36159</v>
      </c>
      <c r="G26" s="32">
        <v>596.88499999999999</v>
      </c>
      <c r="H26" s="36">
        <v>1120616859</v>
      </c>
      <c r="I26" s="35">
        <f>$I$4-D26+1</f>
        <v>233</v>
      </c>
      <c r="J26" s="36">
        <f>ROUND(H26/F26*I26,)</f>
        <v>7220989</v>
      </c>
      <c r="K26" s="32">
        <f>$K$4-$I$4</f>
        <v>365</v>
      </c>
      <c r="L26" s="36">
        <f>ROUND(H26/F26*K26,)-1</f>
        <v>11311848</v>
      </c>
      <c r="M26" s="37">
        <f t="shared" ref="M26:M35" si="29">J26+L26</f>
        <v>18532837</v>
      </c>
      <c r="N26" s="38">
        <f t="shared" ref="N26:N35" si="30">ROUND(H26/F26*(I26+K26),)</f>
        <v>18532838</v>
      </c>
      <c r="O26" s="39">
        <f t="shared" ref="O26:O35" si="31">+M26-N26</f>
        <v>-1</v>
      </c>
      <c r="P26" s="40">
        <f t="shared" ref="P26:P35" si="32">+$P$4-$K$4</f>
        <v>365</v>
      </c>
      <c r="Q26" s="36">
        <f t="shared" ref="Q26:Q36" si="33">ROUND(H26/F26*P26,)</f>
        <v>11311849</v>
      </c>
      <c r="R26" s="37">
        <f t="shared" ref="R26:R36" si="34">+M26+Q26</f>
        <v>29844686</v>
      </c>
      <c r="S26" s="40">
        <f t="shared" ref="S26:S37" si="35">+$S$4-$P$4</f>
        <v>365</v>
      </c>
      <c r="T26" s="36">
        <f t="shared" ref="T26:T38" si="36">ROUND(H26/F26*S26,)</f>
        <v>11311849</v>
      </c>
      <c r="U26" s="37">
        <f t="shared" ref="U26:U38" si="37">+R26+T26</f>
        <v>41156535</v>
      </c>
      <c r="V26" s="40">
        <f t="shared" ref="V26:V39" si="38">$V$4-$S$4</f>
        <v>366</v>
      </c>
      <c r="W26" s="36">
        <f t="shared" ref="W26:W40" si="39">ROUND(H26/F26*V26,)</f>
        <v>11342841</v>
      </c>
      <c r="X26" s="37">
        <f t="shared" ref="X26:X40" si="40">+U26+W26</f>
        <v>52499376</v>
      </c>
      <c r="Y26" s="40">
        <f t="shared" ref="Y26:Y40" si="41">+$Y$4-$V$4</f>
        <v>365</v>
      </c>
      <c r="Z26" s="36">
        <f t="shared" ref="Z26:Z41" si="42">+ROUND(H26/F26*Y26,)</f>
        <v>11311849</v>
      </c>
      <c r="AA26" s="37">
        <f t="shared" ref="AA26:AA41" si="43">+X26+Z26</f>
        <v>63811225</v>
      </c>
      <c r="AB26" s="37">
        <f t="shared" ref="AB26:AB41" si="44">$AB$4-$Y$4</f>
        <v>365</v>
      </c>
      <c r="AC26" s="37">
        <f t="shared" ref="AC26:AC41" si="45">+ROUND(H26/F26*AB26,)</f>
        <v>11311849</v>
      </c>
      <c r="AD26" s="37">
        <f t="shared" ref="AD26:AD41" si="46">+AA26+AC26</f>
        <v>75123074</v>
      </c>
      <c r="AE26" s="40">
        <f t="shared" ref="AE26:AE41" si="47">+$AE$4-$AB$4</f>
        <v>365</v>
      </c>
      <c r="AF26" s="36">
        <f t="shared" ref="AF26:AF41" si="48">ROUND(H26/F26*AE26,)</f>
        <v>11311849</v>
      </c>
      <c r="AG26" s="36">
        <f t="shared" ref="AG26:AG41" si="49">H26-AD26-AF26</f>
        <v>1034181936</v>
      </c>
      <c r="AH26" s="41"/>
    </row>
    <row r="27" spans="2:34" x14ac:dyDescent="0.3">
      <c r="B27" s="31">
        <v>2</v>
      </c>
      <c r="C27" s="42" t="s">
        <v>67</v>
      </c>
      <c r="D27" s="33">
        <v>40767</v>
      </c>
      <c r="E27" s="33">
        <v>76925</v>
      </c>
      <c r="F27" s="32">
        <f t="shared" si="28"/>
        <v>36159</v>
      </c>
      <c r="G27" s="32"/>
      <c r="H27" s="34">
        <v>29594984</v>
      </c>
      <c r="I27" s="35">
        <f>$I$4-D27+1</f>
        <v>233</v>
      </c>
      <c r="J27" s="36">
        <f>ROUND(H27/F27*I27,)</f>
        <v>190703</v>
      </c>
      <c r="K27" s="32">
        <f>$K$4-$I$4</f>
        <v>365</v>
      </c>
      <c r="L27" s="36">
        <f t="shared" ref="L27:L35" si="50">ROUND(H27/F27*K27,)</f>
        <v>298741</v>
      </c>
      <c r="M27" s="37">
        <f t="shared" si="29"/>
        <v>489444</v>
      </c>
      <c r="N27" s="38">
        <f t="shared" si="30"/>
        <v>489444</v>
      </c>
      <c r="O27" s="39">
        <f t="shared" si="31"/>
        <v>0</v>
      </c>
      <c r="P27" s="40">
        <f t="shared" si="32"/>
        <v>365</v>
      </c>
      <c r="Q27" s="36">
        <f t="shared" si="33"/>
        <v>298741</v>
      </c>
      <c r="R27" s="37">
        <f t="shared" si="34"/>
        <v>788185</v>
      </c>
      <c r="S27" s="40">
        <f t="shared" si="35"/>
        <v>365</v>
      </c>
      <c r="T27" s="36">
        <f t="shared" si="36"/>
        <v>298741</v>
      </c>
      <c r="U27" s="37">
        <f t="shared" si="37"/>
        <v>1086926</v>
      </c>
      <c r="V27" s="40">
        <f t="shared" si="38"/>
        <v>366</v>
      </c>
      <c r="W27" s="36">
        <f t="shared" si="39"/>
        <v>299559</v>
      </c>
      <c r="X27" s="37">
        <f t="shared" si="40"/>
        <v>1386485</v>
      </c>
      <c r="Y27" s="40">
        <f t="shared" si="41"/>
        <v>365</v>
      </c>
      <c r="Z27" s="36">
        <f t="shared" si="42"/>
        <v>298741</v>
      </c>
      <c r="AA27" s="37">
        <f t="shared" si="43"/>
        <v>1685226</v>
      </c>
      <c r="AB27" s="37">
        <f t="shared" si="44"/>
        <v>365</v>
      </c>
      <c r="AC27" s="37">
        <f t="shared" si="45"/>
        <v>298741</v>
      </c>
      <c r="AD27" s="37">
        <f t="shared" si="46"/>
        <v>1983967</v>
      </c>
      <c r="AE27" s="40">
        <f t="shared" si="47"/>
        <v>365</v>
      </c>
      <c r="AF27" s="36">
        <f t="shared" si="48"/>
        <v>298741</v>
      </c>
      <c r="AG27" s="36">
        <f t="shared" si="49"/>
        <v>27312276</v>
      </c>
      <c r="AH27" s="41"/>
    </row>
    <row r="28" spans="2:34" ht="26.4" x14ac:dyDescent="0.3">
      <c r="B28" s="31">
        <v>3</v>
      </c>
      <c r="C28" s="42" t="s">
        <v>68</v>
      </c>
      <c r="D28" s="33">
        <v>40767</v>
      </c>
      <c r="E28" s="33">
        <v>76925</v>
      </c>
      <c r="F28" s="32">
        <f t="shared" si="28"/>
        <v>36159</v>
      </c>
      <c r="G28" s="32"/>
      <c r="H28" s="34">
        <f>1573330+41080490+4175102+5215220-1447503</f>
        <v>50596639</v>
      </c>
      <c r="I28" s="35">
        <f>$I$4-D28+1</f>
        <v>233</v>
      </c>
      <c r="J28" s="36">
        <f>ROUND(H28/F28*I28,)</f>
        <v>326033</v>
      </c>
      <c r="K28" s="32">
        <f>$K$4-$I$4</f>
        <v>365</v>
      </c>
      <c r="L28" s="36">
        <f t="shared" si="50"/>
        <v>510738</v>
      </c>
      <c r="M28" s="37">
        <f t="shared" si="29"/>
        <v>836771</v>
      </c>
      <c r="N28" s="38">
        <f t="shared" si="30"/>
        <v>836771</v>
      </c>
      <c r="O28" s="39">
        <f t="shared" si="31"/>
        <v>0</v>
      </c>
      <c r="P28" s="40">
        <f t="shared" si="32"/>
        <v>365</v>
      </c>
      <c r="Q28" s="36">
        <f t="shared" si="33"/>
        <v>510738</v>
      </c>
      <c r="R28" s="37">
        <f t="shared" si="34"/>
        <v>1347509</v>
      </c>
      <c r="S28" s="40">
        <f t="shared" si="35"/>
        <v>365</v>
      </c>
      <c r="T28" s="36">
        <f t="shared" si="36"/>
        <v>510738</v>
      </c>
      <c r="U28" s="37">
        <f t="shared" si="37"/>
        <v>1858247</v>
      </c>
      <c r="V28" s="40">
        <f t="shared" si="38"/>
        <v>366</v>
      </c>
      <c r="W28" s="36">
        <f t="shared" si="39"/>
        <v>512137</v>
      </c>
      <c r="X28" s="37">
        <f t="shared" si="40"/>
        <v>2370384</v>
      </c>
      <c r="Y28" s="40">
        <f t="shared" si="41"/>
        <v>365</v>
      </c>
      <c r="Z28" s="36">
        <f t="shared" si="42"/>
        <v>510738</v>
      </c>
      <c r="AA28" s="37">
        <f t="shared" si="43"/>
        <v>2881122</v>
      </c>
      <c r="AB28" s="37">
        <f t="shared" si="44"/>
        <v>365</v>
      </c>
      <c r="AC28" s="37">
        <f t="shared" si="45"/>
        <v>510738</v>
      </c>
      <c r="AD28" s="37">
        <f t="shared" si="46"/>
        <v>3391860</v>
      </c>
      <c r="AE28" s="40">
        <f t="shared" si="47"/>
        <v>365</v>
      </c>
      <c r="AF28" s="36">
        <f t="shared" si="48"/>
        <v>510738</v>
      </c>
      <c r="AG28" s="36">
        <f t="shared" si="49"/>
        <v>46694041</v>
      </c>
      <c r="AH28" s="41"/>
    </row>
    <row r="29" spans="2:34" x14ac:dyDescent="0.3">
      <c r="B29" s="31">
        <v>4</v>
      </c>
      <c r="C29" s="42" t="s">
        <v>69</v>
      </c>
      <c r="D29" s="33">
        <v>41036</v>
      </c>
      <c r="E29" s="33">
        <v>76925</v>
      </c>
      <c r="F29" s="32">
        <f t="shared" si="28"/>
        <v>35890</v>
      </c>
      <c r="G29" s="72">
        <v>162.91550100000001</v>
      </c>
      <c r="H29" s="34">
        <v>3081608</v>
      </c>
      <c r="I29" s="35"/>
      <c r="J29" s="36"/>
      <c r="K29" s="32">
        <f t="shared" ref="K29:K35" si="51">$K$4-D29+1</f>
        <v>329</v>
      </c>
      <c r="L29" s="36">
        <f t="shared" si="50"/>
        <v>28249</v>
      </c>
      <c r="M29" s="37">
        <f t="shared" si="29"/>
        <v>28249</v>
      </c>
      <c r="N29" s="38">
        <f t="shared" si="30"/>
        <v>28249</v>
      </c>
      <c r="O29" s="39">
        <f t="shared" si="31"/>
        <v>0</v>
      </c>
      <c r="P29" s="40">
        <f t="shared" si="32"/>
        <v>365</v>
      </c>
      <c r="Q29" s="36">
        <f t="shared" si="33"/>
        <v>31340</v>
      </c>
      <c r="R29" s="37">
        <f t="shared" si="34"/>
        <v>59589</v>
      </c>
      <c r="S29" s="40">
        <f t="shared" si="35"/>
        <v>365</v>
      </c>
      <c r="T29" s="36">
        <f t="shared" si="36"/>
        <v>31340</v>
      </c>
      <c r="U29" s="37">
        <f t="shared" si="37"/>
        <v>90929</v>
      </c>
      <c r="V29" s="40">
        <f t="shared" si="38"/>
        <v>366</v>
      </c>
      <c r="W29" s="36">
        <f t="shared" si="39"/>
        <v>31426</v>
      </c>
      <c r="X29" s="37">
        <f t="shared" si="40"/>
        <v>122355</v>
      </c>
      <c r="Y29" s="40">
        <f t="shared" si="41"/>
        <v>365</v>
      </c>
      <c r="Z29" s="36">
        <f t="shared" si="42"/>
        <v>31340</v>
      </c>
      <c r="AA29" s="37">
        <f t="shared" si="43"/>
        <v>153695</v>
      </c>
      <c r="AB29" s="37">
        <f t="shared" si="44"/>
        <v>365</v>
      </c>
      <c r="AC29" s="37">
        <f t="shared" si="45"/>
        <v>31340</v>
      </c>
      <c r="AD29" s="37">
        <f t="shared" si="46"/>
        <v>185035</v>
      </c>
      <c r="AE29" s="40">
        <f t="shared" si="47"/>
        <v>365</v>
      </c>
      <c r="AF29" s="36">
        <f t="shared" si="48"/>
        <v>31340</v>
      </c>
      <c r="AG29" s="36">
        <f t="shared" si="49"/>
        <v>2865233</v>
      </c>
      <c r="AH29" s="41"/>
    </row>
    <row r="30" spans="2:34" x14ac:dyDescent="0.3">
      <c r="B30" s="31">
        <v>5</v>
      </c>
      <c r="C30" s="42" t="s">
        <v>70</v>
      </c>
      <c r="D30" s="33">
        <v>41036</v>
      </c>
      <c r="E30" s="33">
        <v>76925</v>
      </c>
      <c r="F30" s="32">
        <f t="shared" si="28"/>
        <v>35890</v>
      </c>
      <c r="G30" s="72">
        <v>162.91550100000001</v>
      </c>
      <c r="H30" s="34">
        <v>4314111</v>
      </c>
      <c r="I30" s="35"/>
      <c r="J30" s="36"/>
      <c r="K30" s="32">
        <f t="shared" si="51"/>
        <v>329</v>
      </c>
      <c r="L30" s="36">
        <f t="shared" si="50"/>
        <v>39547</v>
      </c>
      <c r="M30" s="37">
        <f t="shared" si="29"/>
        <v>39547</v>
      </c>
      <c r="N30" s="38">
        <f t="shared" si="30"/>
        <v>39547</v>
      </c>
      <c r="O30" s="39">
        <f t="shared" si="31"/>
        <v>0</v>
      </c>
      <c r="P30" s="40">
        <f t="shared" si="32"/>
        <v>365</v>
      </c>
      <c r="Q30" s="36">
        <f t="shared" si="33"/>
        <v>43874</v>
      </c>
      <c r="R30" s="37">
        <f t="shared" si="34"/>
        <v>83421</v>
      </c>
      <c r="S30" s="40">
        <f t="shared" si="35"/>
        <v>365</v>
      </c>
      <c r="T30" s="36">
        <f t="shared" si="36"/>
        <v>43874</v>
      </c>
      <c r="U30" s="37">
        <f t="shared" si="37"/>
        <v>127295</v>
      </c>
      <c r="V30" s="40">
        <f t="shared" si="38"/>
        <v>366</v>
      </c>
      <c r="W30" s="36">
        <f t="shared" si="39"/>
        <v>43995</v>
      </c>
      <c r="X30" s="37">
        <f t="shared" si="40"/>
        <v>171290</v>
      </c>
      <c r="Y30" s="40">
        <f t="shared" si="41"/>
        <v>365</v>
      </c>
      <c r="Z30" s="36">
        <f t="shared" si="42"/>
        <v>43874</v>
      </c>
      <c r="AA30" s="37">
        <f t="shared" si="43"/>
        <v>215164</v>
      </c>
      <c r="AB30" s="37">
        <f t="shared" si="44"/>
        <v>365</v>
      </c>
      <c r="AC30" s="37">
        <f t="shared" si="45"/>
        <v>43874</v>
      </c>
      <c r="AD30" s="37">
        <f t="shared" si="46"/>
        <v>259038</v>
      </c>
      <c r="AE30" s="40">
        <f t="shared" si="47"/>
        <v>365</v>
      </c>
      <c r="AF30" s="36">
        <f t="shared" si="48"/>
        <v>43874</v>
      </c>
      <c r="AG30" s="36">
        <f t="shared" si="49"/>
        <v>4011199</v>
      </c>
      <c r="AH30" s="41"/>
    </row>
    <row r="31" spans="2:34" x14ac:dyDescent="0.3">
      <c r="B31" s="31">
        <v>6</v>
      </c>
      <c r="C31" s="42" t="s">
        <v>71</v>
      </c>
      <c r="D31" s="33">
        <v>41037</v>
      </c>
      <c r="E31" s="33">
        <v>76925</v>
      </c>
      <c r="F31" s="32">
        <f t="shared" si="28"/>
        <v>35889</v>
      </c>
      <c r="G31" s="72">
        <v>434.21894600000002</v>
      </c>
      <c r="H31" s="34">
        <v>8800745</v>
      </c>
      <c r="I31" s="35"/>
      <c r="J31" s="36"/>
      <c r="K31" s="32">
        <f t="shared" si="51"/>
        <v>328</v>
      </c>
      <c r="L31" s="36">
        <f t="shared" si="50"/>
        <v>80433</v>
      </c>
      <c r="M31" s="37">
        <f t="shared" si="29"/>
        <v>80433</v>
      </c>
      <c r="N31" s="38">
        <f t="shared" si="30"/>
        <v>80433</v>
      </c>
      <c r="O31" s="39">
        <f t="shared" si="31"/>
        <v>0</v>
      </c>
      <c r="P31" s="40">
        <f t="shared" si="32"/>
        <v>365</v>
      </c>
      <c r="Q31" s="36">
        <f t="shared" si="33"/>
        <v>89506</v>
      </c>
      <c r="R31" s="37">
        <f t="shared" si="34"/>
        <v>169939</v>
      </c>
      <c r="S31" s="40">
        <f t="shared" si="35"/>
        <v>365</v>
      </c>
      <c r="T31" s="36">
        <f t="shared" si="36"/>
        <v>89506</v>
      </c>
      <c r="U31" s="37">
        <f t="shared" si="37"/>
        <v>259445</v>
      </c>
      <c r="V31" s="40">
        <f t="shared" si="38"/>
        <v>366</v>
      </c>
      <c r="W31" s="36">
        <f t="shared" si="39"/>
        <v>89751</v>
      </c>
      <c r="X31" s="37">
        <f t="shared" si="40"/>
        <v>349196</v>
      </c>
      <c r="Y31" s="40">
        <f t="shared" si="41"/>
        <v>365</v>
      </c>
      <c r="Z31" s="36">
        <f t="shared" si="42"/>
        <v>89506</v>
      </c>
      <c r="AA31" s="37">
        <f t="shared" si="43"/>
        <v>438702</v>
      </c>
      <c r="AB31" s="37">
        <f t="shared" si="44"/>
        <v>365</v>
      </c>
      <c r="AC31" s="37">
        <f t="shared" si="45"/>
        <v>89506</v>
      </c>
      <c r="AD31" s="37">
        <f t="shared" si="46"/>
        <v>528208</v>
      </c>
      <c r="AE31" s="40">
        <f t="shared" si="47"/>
        <v>365</v>
      </c>
      <c r="AF31" s="36">
        <f t="shared" si="48"/>
        <v>89506</v>
      </c>
      <c r="AG31" s="36">
        <f t="shared" si="49"/>
        <v>8183031</v>
      </c>
      <c r="AH31" s="41"/>
    </row>
    <row r="32" spans="2:34" x14ac:dyDescent="0.3">
      <c r="B32" s="31">
        <v>7</v>
      </c>
      <c r="C32" s="42" t="s">
        <v>72</v>
      </c>
      <c r="D32" s="33">
        <v>41037</v>
      </c>
      <c r="E32" s="33">
        <v>76925</v>
      </c>
      <c r="F32" s="32">
        <f t="shared" si="28"/>
        <v>35889</v>
      </c>
      <c r="G32" s="72">
        <v>434.21894600000002</v>
      </c>
      <c r="H32" s="34">
        <v>12320903</v>
      </c>
      <c r="I32" s="35"/>
      <c r="J32" s="36"/>
      <c r="K32" s="32">
        <f t="shared" si="51"/>
        <v>328</v>
      </c>
      <c r="L32" s="36">
        <f t="shared" si="50"/>
        <v>112604</v>
      </c>
      <c r="M32" s="37">
        <f t="shared" si="29"/>
        <v>112604</v>
      </c>
      <c r="N32" s="38">
        <f t="shared" si="30"/>
        <v>112604</v>
      </c>
      <c r="O32" s="39">
        <f t="shared" si="31"/>
        <v>0</v>
      </c>
      <c r="P32" s="40">
        <f t="shared" si="32"/>
        <v>365</v>
      </c>
      <c r="Q32" s="36">
        <f t="shared" si="33"/>
        <v>125307</v>
      </c>
      <c r="R32" s="37">
        <f t="shared" si="34"/>
        <v>237911</v>
      </c>
      <c r="S32" s="40">
        <f t="shared" si="35"/>
        <v>365</v>
      </c>
      <c r="T32" s="36">
        <f t="shared" si="36"/>
        <v>125307</v>
      </c>
      <c r="U32" s="37">
        <f t="shared" si="37"/>
        <v>363218</v>
      </c>
      <c r="V32" s="40">
        <f t="shared" si="38"/>
        <v>366</v>
      </c>
      <c r="W32" s="36">
        <f t="shared" si="39"/>
        <v>125650</v>
      </c>
      <c r="X32" s="37">
        <f t="shared" si="40"/>
        <v>488868</v>
      </c>
      <c r="Y32" s="40">
        <f t="shared" si="41"/>
        <v>365</v>
      </c>
      <c r="Z32" s="36">
        <f t="shared" si="42"/>
        <v>125307</v>
      </c>
      <c r="AA32" s="37">
        <f t="shared" si="43"/>
        <v>614175</v>
      </c>
      <c r="AB32" s="37">
        <f t="shared" si="44"/>
        <v>365</v>
      </c>
      <c r="AC32" s="37">
        <f t="shared" si="45"/>
        <v>125307</v>
      </c>
      <c r="AD32" s="37">
        <f t="shared" si="46"/>
        <v>739482</v>
      </c>
      <c r="AE32" s="40">
        <f t="shared" si="47"/>
        <v>365</v>
      </c>
      <c r="AF32" s="36">
        <f t="shared" si="48"/>
        <v>125307</v>
      </c>
      <c r="AG32" s="36">
        <f t="shared" si="49"/>
        <v>11456114</v>
      </c>
      <c r="AH32" s="41"/>
    </row>
    <row r="33" spans="2:34" x14ac:dyDescent="0.3">
      <c r="B33" s="31">
        <v>8</v>
      </c>
      <c r="C33" s="42" t="s">
        <v>73</v>
      </c>
      <c r="D33" s="33">
        <v>40767</v>
      </c>
      <c r="E33" s="33">
        <v>76925</v>
      </c>
      <c r="F33" s="32">
        <f t="shared" si="28"/>
        <v>36159</v>
      </c>
      <c r="G33" s="72"/>
      <c r="H33" s="34">
        <v>512320</v>
      </c>
      <c r="I33" s="35"/>
      <c r="J33" s="36"/>
      <c r="K33" s="32">
        <f t="shared" si="51"/>
        <v>598</v>
      </c>
      <c r="L33" s="36">
        <f t="shared" si="50"/>
        <v>8473</v>
      </c>
      <c r="M33" s="37">
        <f t="shared" si="29"/>
        <v>8473</v>
      </c>
      <c r="N33" s="38">
        <f t="shared" si="30"/>
        <v>8473</v>
      </c>
      <c r="O33" s="39">
        <f t="shared" si="31"/>
        <v>0</v>
      </c>
      <c r="P33" s="40">
        <f t="shared" si="32"/>
        <v>365</v>
      </c>
      <c r="Q33" s="36">
        <f t="shared" si="33"/>
        <v>5172</v>
      </c>
      <c r="R33" s="37">
        <f t="shared" si="34"/>
        <v>13645</v>
      </c>
      <c r="S33" s="40">
        <f t="shared" si="35"/>
        <v>365</v>
      </c>
      <c r="T33" s="36">
        <f t="shared" si="36"/>
        <v>5172</v>
      </c>
      <c r="U33" s="37">
        <f t="shared" si="37"/>
        <v>18817</v>
      </c>
      <c r="V33" s="40">
        <f t="shared" si="38"/>
        <v>366</v>
      </c>
      <c r="W33" s="36">
        <f t="shared" si="39"/>
        <v>5186</v>
      </c>
      <c r="X33" s="37">
        <f t="shared" si="40"/>
        <v>24003</v>
      </c>
      <c r="Y33" s="40">
        <f t="shared" si="41"/>
        <v>365</v>
      </c>
      <c r="Z33" s="36">
        <f t="shared" si="42"/>
        <v>5172</v>
      </c>
      <c r="AA33" s="37">
        <f t="shared" si="43"/>
        <v>29175</v>
      </c>
      <c r="AB33" s="37">
        <f t="shared" si="44"/>
        <v>365</v>
      </c>
      <c r="AC33" s="37">
        <f t="shared" si="45"/>
        <v>5172</v>
      </c>
      <c r="AD33" s="37">
        <f t="shared" si="46"/>
        <v>34347</v>
      </c>
      <c r="AE33" s="40">
        <f t="shared" si="47"/>
        <v>365</v>
      </c>
      <c r="AF33" s="36">
        <f t="shared" si="48"/>
        <v>5172</v>
      </c>
      <c r="AG33" s="36">
        <f t="shared" si="49"/>
        <v>472801</v>
      </c>
      <c r="AH33" s="41"/>
    </row>
    <row r="34" spans="2:34" x14ac:dyDescent="0.3">
      <c r="B34" s="31">
        <v>9</v>
      </c>
      <c r="C34" s="42" t="s">
        <v>74</v>
      </c>
      <c r="D34" s="33">
        <v>40767</v>
      </c>
      <c r="E34" s="33">
        <v>76925</v>
      </c>
      <c r="F34" s="32">
        <f t="shared" si="28"/>
        <v>36159</v>
      </c>
      <c r="G34" s="72"/>
      <c r="H34" s="34">
        <v>1422320</v>
      </c>
      <c r="I34" s="35"/>
      <c r="J34" s="36"/>
      <c r="K34" s="32">
        <f t="shared" si="51"/>
        <v>598</v>
      </c>
      <c r="L34" s="36">
        <f t="shared" si="50"/>
        <v>23522</v>
      </c>
      <c r="M34" s="37">
        <f t="shared" si="29"/>
        <v>23522</v>
      </c>
      <c r="N34" s="38">
        <f t="shared" si="30"/>
        <v>23522</v>
      </c>
      <c r="O34" s="39">
        <f t="shared" si="31"/>
        <v>0</v>
      </c>
      <c r="P34" s="40">
        <f t="shared" si="32"/>
        <v>365</v>
      </c>
      <c r="Q34" s="36">
        <f t="shared" si="33"/>
        <v>14357</v>
      </c>
      <c r="R34" s="37">
        <f t="shared" si="34"/>
        <v>37879</v>
      </c>
      <c r="S34" s="40">
        <f t="shared" si="35"/>
        <v>365</v>
      </c>
      <c r="T34" s="36">
        <f t="shared" si="36"/>
        <v>14357</v>
      </c>
      <c r="U34" s="37">
        <f t="shared" si="37"/>
        <v>52236</v>
      </c>
      <c r="V34" s="40">
        <f t="shared" si="38"/>
        <v>366</v>
      </c>
      <c r="W34" s="36">
        <f t="shared" si="39"/>
        <v>14397</v>
      </c>
      <c r="X34" s="37">
        <f t="shared" si="40"/>
        <v>66633</v>
      </c>
      <c r="Y34" s="40">
        <f t="shared" si="41"/>
        <v>365</v>
      </c>
      <c r="Z34" s="36">
        <f t="shared" si="42"/>
        <v>14357</v>
      </c>
      <c r="AA34" s="37">
        <f t="shared" si="43"/>
        <v>80990</v>
      </c>
      <c r="AB34" s="37">
        <f t="shared" si="44"/>
        <v>365</v>
      </c>
      <c r="AC34" s="37">
        <f t="shared" si="45"/>
        <v>14357</v>
      </c>
      <c r="AD34" s="37">
        <f t="shared" si="46"/>
        <v>95347</v>
      </c>
      <c r="AE34" s="40">
        <f t="shared" si="47"/>
        <v>365</v>
      </c>
      <c r="AF34" s="36">
        <f t="shared" si="48"/>
        <v>14357</v>
      </c>
      <c r="AG34" s="36">
        <f t="shared" si="49"/>
        <v>1312616</v>
      </c>
      <c r="AH34" s="41"/>
    </row>
    <row r="35" spans="2:34" x14ac:dyDescent="0.3">
      <c r="B35" s="31">
        <v>10</v>
      </c>
      <c r="C35" s="42" t="s">
        <v>75</v>
      </c>
      <c r="D35" s="33">
        <v>40767</v>
      </c>
      <c r="E35" s="33">
        <v>76925</v>
      </c>
      <c r="F35" s="32">
        <f t="shared" si="28"/>
        <v>36159</v>
      </c>
      <c r="G35" s="72"/>
      <c r="H35" s="34">
        <f>641713</f>
        <v>641713</v>
      </c>
      <c r="I35" s="35"/>
      <c r="J35" s="36"/>
      <c r="K35" s="32">
        <f t="shared" si="51"/>
        <v>598</v>
      </c>
      <c r="L35" s="36">
        <f t="shared" si="50"/>
        <v>10613</v>
      </c>
      <c r="M35" s="37">
        <f t="shared" si="29"/>
        <v>10613</v>
      </c>
      <c r="N35" s="38">
        <f t="shared" si="30"/>
        <v>10613</v>
      </c>
      <c r="O35" s="39">
        <f t="shared" si="31"/>
        <v>0</v>
      </c>
      <c r="P35" s="40">
        <f t="shared" si="32"/>
        <v>365</v>
      </c>
      <c r="Q35" s="36">
        <f t="shared" si="33"/>
        <v>6478</v>
      </c>
      <c r="R35" s="37">
        <f t="shared" si="34"/>
        <v>17091</v>
      </c>
      <c r="S35" s="40">
        <f t="shared" si="35"/>
        <v>365</v>
      </c>
      <c r="T35" s="36">
        <f t="shared" si="36"/>
        <v>6478</v>
      </c>
      <c r="U35" s="37">
        <f t="shared" si="37"/>
        <v>23569</v>
      </c>
      <c r="V35" s="40">
        <f t="shared" si="38"/>
        <v>366</v>
      </c>
      <c r="W35" s="36">
        <f t="shared" si="39"/>
        <v>6495</v>
      </c>
      <c r="X35" s="37">
        <f t="shared" si="40"/>
        <v>30064</v>
      </c>
      <c r="Y35" s="40">
        <f t="shared" si="41"/>
        <v>365</v>
      </c>
      <c r="Z35" s="36">
        <f t="shared" si="42"/>
        <v>6478</v>
      </c>
      <c r="AA35" s="37">
        <f t="shared" si="43"/>
        <v>36542</v>
      </c>
      <c r="AB35" s="37">
        <f t="shared" si="44"/>
        <v>365</v>
      </c>
      <c r="AC35" s="37">
        <f t="shared" si="45"/>
        <v>6478</v>
      </c>
      <c r="AD35" s="37">
        <f t="shared" si="46"/>
        <v>43020</v>
      </c>
      <c r="AE35" s="40">
        <f t="shared" si="47"/>
        <v>365</v>
      </c>
      <c r="AF35" s="36">
        <f t="shared" si="48"/>
        <v>6478</v>
      </c>
      <c r="AG35" s="36">
        <f t="shared" si="49"/>
        <v>592215</v>
      </c>
      <c r="AH35" s="41"/>
    </row>
    <row r="36" spans="2:34" x14ac:dyDescent="0.3">
      <c r="B36" s="31">
        <v>11</v>
      </c>
      <c r="C36" s="42" t="s">
        <v>76</v>
      </c>
      <c r="D36" s="33">
        <v>40767</v>
      </c>
      <c r="E36" s="33">
        <v>76925</v>
      </c>
      <c r="F36" s="32">
        <f t="shared" si="28"/>
        <v>36159</v>
      </c>
      <c r="G36" s="72"/>
      <c r="H36" s="34">
        <f>54606+641713+162160+283660</f>
        <v>1142139</v>
      </c>
      <c r="I36" s="35"/>
      <c r="J36" s="36"/>
      <c r="K36" s="32"/>
      <c r="L36" s="36"/>
      <c r="M36" s="37"/>
      <c r="N36" s="38"/>
      <c r="O36" s="39"/>
      <c r="P36" s="40">
        <f>+$P$4-D36+1</f>
        <v>963</v>
      </c>
      <c r="Q36" s="36">
        <f t="shared" si="33"/>
        <v>30418</v>
      </c>
      <c r="R36" s="37">
        <f t="shared" si="34"/>
        <v>30418</v>
      </c>
      <c r="S36" s="40">
        <f t="shared" si="35"/>
        <v>365</v>
      </c>
      <c r="T36" s="36">
        <f t="shared" si="36"/>
        <v>11529</v>
      </c>
      <c r="U36" s="37">
        <f t="shared" si="37"/>
        <v>41947</v>
      </c>
      <c r="V36" s="40">
        <f t="shared" si="38"/>
        <v>366</v>
      </c>
      <c r="W36" s="36">
        <f t="shared" si="39"/>
        <v>11561</v>
      </c>
      <c r="X36" s="37">
        <f t="shared" si="40"/>
        <v>53508</v>
      </c>
      <c r="Y36" s="40">
        <f t="shared" si="41"/>
        <v>365</v>
      </c>
      <c r="Z36" s="36">
        <f t="shared" si="42"/>
        <v>11529</v>
      </c>
      <c r="AA36" s="37">
        <f t="shared" si="43"/>
        <v>65037</v>
      </c>
      <c r="AB36" s="37">
        <f t="shared" si="44"/>
        <v>365</v>
      </c>
      <c r="AC36" s="37">
        <f t="shared" si="45"/>
        <v>11529</v>
      </c>
      <c r="AD36" s="37">
        <f t="shared" si="46"/>
        <v>76566</v>
      </c>
      <c r="AE36" s="40">
        <f t="shared" si="47"/>
        <v>365</v>
      </c>
      <c r="AF36" s="36">
        <f t="shared" si="48"/>
        <v>11529</v>
      </c>
      <c r="AG36" s="36">
        <f t="shared" si="49"/>
        <v>1054044</v>
      </c>
      <c r="AH36" s="41"/>
    </row>
    <row r="37" spans="2:34" x14ac:dyDescent="0.3">
      <c r="B37" s="31">
        <v>12</v>
      </c>
      <c r="C37" s="42" t="s">
        <v>77</v>
      </c>
      <c r="D37" s="33">
        <v>40767</v>
      </c>
      <c r="E37" s="33">
        <v>76925</v>
      </c>
      <c r="F37" s="32">
        <f t="shared" si="28"/>
        <v>36159</v>
      </c>
      <c r="G37" s="72"/>
      <c r="H37" s="34">
        <f>210150+205001</f>
        <v>415151</v>
      </c>
      <c r="I37" s="35"/>
      <c r="J37" s="36"/>
      <c r="K37" s="32"/>
      <c r="L37" s="36"/>
      <c r="M37" s="37"/>
      <c r="N37" s="38"/>
      <c r="O37" s="39"/>
      <c r="P37" s="40">
        <f>+$P$4-D37+1</f>
        <v>963</v>
      </c>
      <c r="Q37" s="36">
        <f>ROUND(H37/F37*P37,)</f>
        <v>11056</v>
      </c>
      <c r="R37" s="37">
        <f>+M37+Q37</f>
        <v>11056</v>
      </c>
      <c r="S37" s="40">
        <f t="shared" si="35"/>
        <v>365</v>
      </c>
      <c r="T37" s="36">
        <f t="shared" si="36"/>
        <v>4191</v>
      </c>
      <c r="U37" s="37">
        <f t="shared" si="37"/>
        <v>15247</v>
      </c>
      <c r="V37" s="40">
        <f t="shared" si="38"/>
        <v>366</v>
      </c>
      <c r="W37" s="36">
        <f t="shared" si="39"/>
        <v>4202</v>
      </c>
      <c r="X37" s="37">
        <f t="shared" si="40"/>
        <v>19449</v>
      </c>
      <c r="Y37" s="40">
        <f t="shared" si="41"/>
        <v>365</v>
      </c>
      <c r="Z37" s="36">
        <f t="shared" si="42"/>
        <v>4191</v>
      </c>
      <c r="AA37" s="37">
        <f t="shared" si="43"/>
        <v>23640</v>
      </c>
      <c r="AB37" s="37">
        <f t="shared" si="44"/>
        <v>365</v>
      </c>
      <c r="AC37" s="37">
        <f t="shared" si="45"/>
        <v>4191</v>
      </c>
      <c r="AD37" s="37">
        <f t="shared" si="46"/>
        <v>27831</v>
      </c>
      <c r="AE37" s="40">
        <f t="shared" si="47"/>
        <v>365</v>
      </c>
      <c r="AF37" s="36">
        <f t="shared" si="48"/>
        <v>4191</v>
      </c>
      <c r="AG37" s="36">
        <f t="shared" si="49"/>
        <v>383129</v>
      </c>
      <c r="AH37" s="41"/>
    </row>
    <row r="38" spans="2:34" x14ac:dyDescent="0.3">
      <c r="B38" s="31">
        <v>13</v>
      </c>
      <c r="C38" s="62" t="s">
        <v>78</v>
      </c>
      <c r="D38" s="63">
        <v>40767</v>
      </c>
      <c r="E38" s="63">
        <v>76925</v>
      </c>
      <c r="F38" s="64">
        <f t="shared" si="28"/>
        <v>36159</v>
      </c>
      <c r="G38" s="65">
        <f>-162.85</f>
        <v>-162.85</v>
      </c>
      <c r="H38" s="73">
        <f>-331848102-910000</f>
        <v>-332758102</v>
      </c>
      <c r="I38" s="67"/>
      <c r="J38" s="66"/>
      <c r="K38" s="64"/>
      <c r="L38" s="66"/>
      <c r="M38" s="68"/>
      <c r="N38" s="69"/>
      <c r="O38" s="70"/>
      <c r="P38" s="71"/>
      <c r="Q38" s="66"/>
      <c r="R38" s="68"/>
      <c r="S38" s="40">
        <f>+S4-D38+1</f>
        <v>1328</v>
      </c>
      <c r="T38" s="66">
        <f t="shared" si="36"/>
        <v>-12221100</v>
      </c>
      <c r="U38" s="68">
        <f t="shared" si="37"/>
        <v>-12221100</v>
      </c>
      <c r="V38" s="40">
        <f t="shared" si="38"/>
        <v>366</v>
      </c>
      <c r="W38" s="36">
        <f t="shared" si="39"/>
        <v>-3368165</v>
      </c>
      <c r="X38" s="37">
        <f t="shared" si="40"/>
        <v>-15589265</v>
      </c>
      <c r="Y38" s="40">
        <f t="shared" si="41"/>
        <v>365</v>
      </c>
      <c r="Z38" s="36">
        <f t="shared" si="42"/>
        <v>-3358962</v>
      </c>
      <c r="AA38" s="37">
        <f t="shared" si="43"/>
        <v>-18948227</v>
      </c>
      <c r="AB38" s="37">
        <f t="shared" si="44"/>
        <v>365</v>
      </c>
      <c r="AC38" s="37">
        <f t="shared" si="45"/>
        <v>-3358962</v>
      </c>
      <c r="AD38" s="37">
        <f t="shared" si="46"/>
        <v>-22307189</v>
      </c>
      <c r="AE38" s="40">
        <f t="shared" si="47"/>
        <v>365</v>
      </c>
      <c r="AF38" s="36">
        <f t="shared" si="48"/>
        <v>-3358962</v>
      </c>
      <c r="AG38" s="36">
        <f t="shared" si="49"/>
        <v>-307091951</v>
      </c>
      <c r="AH38" s="41"/>
    </row>
    <row r="39" spans="2:34" x14ac:dyDescent="0.3">
      <c r="B39" s="31">
        <v>15</v>
      </c>
      <c r="C39" s="42" t="s">
        <v>79</v>
      </c>
      <c r="D39" s="33">
        <v>40767</v>
      </c>
      <c r="E39" s="33">
        <v>76925</v>
      </c>
      <c r="F39" s="32">
        <f t="shared" si="28"/>
        <v>36159</v>
      </c>
      <c r="G39" s="72"/>
      <c r="H39" s="34">
        <f>450000+910000</f>
        <v>1360000</v>
      </c>
      <c r="I39" s="35"/>
      <c r="J39" s="36"/>
      <c r="K39" s="32"/>
      <c r="L39" s="36"/>
      <c r="M39" s="37"/>
      <c r="N39" s="38"/>
      <c r="O39" s="39"/>
      <c r="P39" s="40"/>
      <c r="Q39" s="36"/>
      <c r="R39" s="37"/>
      <c r="S39" s="40">
        <f>$S$4-D39+1</f>
        <v>1328</v>
      </c>
      <c r="T39" s="36">
        <f>ROUND(H39/F39*S39,)</f>
        <v>49948</v>
      </c>
      <c r="U39" s="37">
        <f>+R39+T39</f>
        <v>49948</v>
      </c>
      <c r="V39" s="40">
        <f t="shared" si="38"/>
        <v>366</v>
      </c>
      <c r="W39" s="36">
        <f t="shared" si="39"/>
        <v>13766</v>
      </c>
      <c r="X39" s="37">
        <f t="shared" si="40"/>
        <v>63714</v>
      </c>
      <c r="Y39" s="40">
        <f t="shared" si="41"/>
        <v>365</v>
      </c>
      <c r="Z39" s="36">
        <f t="shared" si="42"/>
        <v>13728</v>
      </c>
      <c r="AA39" s="37">
        <f t="shared" si="43"/>
        <v>77442</v>
      </c>
      <c r="AB39" s="37">
        <f t="shared" si="44"/>
        <v>365</v>
      </c>
      <c r="AC39" s="37">
        <f t="shared" si="45"/>
        <v>13728</v>
      </c>
      <c r="AD39" s="37">
        <f t="shared" si="46"/>
        <v>91170</v>
      </c>
      <c r="AE39" s="40">
        <f t="shared" si="47"/>
        <v>365</v>
      </c>
      <c r="AF39" s="36">
        <f t="shared" si="48"/>
        <v>13728</v>
      </c>
      <c r="AG39" s="36">
        <f t="shared" si="49"/>
        <v>1255102</v>
      </c>
      <c r="AH39" s="41"/>
    </row>
    <row r="40" spans="2:34" x14ac:dyDescent="0.3">
      <c r="B40" s="31">
        <v>16</v>
      </c>
      <c r="C40" s="42" t="s">
        <v>80</v>
      </c>
      <c r="D40" s="33">
        <v>40767</v>
      </c>
      <c r="E40" s="33">
        <v>76925</v>
      </c>
      <c r="F40" s="32">
        <f t="shared" si="28"/>
        <v>36159</v>
      </c>
      <c r="G40" s="72"/>
      <c r="H40" s="34">
        <v>138250</v>
      </c>
      <c r="I40" s="35"/>
      <c r="J40" s="36"/>
      <c r="K40" s="32"/>
      <c r="L40" s="36"/>
      <c r="M40" s="37"/>
      <c r="N40" s="38"/>
      <c r="O40" s="39"/>
      <c r="P40" s="40"/>
      <c r="Q40" s="36"/>
      <c r="R40" s="37"/>
      <c r="S40" s="40"/>
      <c r="T40" s="36"/>
      <c r="U40" s="37"/>
      <c r="V40" s="40">
        <f>V4-D40+1</f>
        <v>1694</v>
      </c>
      <c r="W40" s="36">
        <f t="shared" si="39"/>
        <v>6477</v>
      </c>
      <c r="X40" s="37">
        <f t="shared" si="40"/>
        <v>6477</v>
      </c>
      <c r="Y40" s="40">
        <f t="shared" si="41"/>
        <v>365</v>
      </c>
      <c r="Z40" s="36">
        <f t="shared" si="42"/>
        <v>1396</v>
      </c>
      <c r="AA40" s="37">
        <f t="shared" si="43"/>
        <v>7873</v>
      </c>
      <c r="AB40" s="37">
        <f t="shared" si="44"/>
        <v>365</v>
      </c>
      <c r="AC40" s="37">
        <f t="shared" si="45"/>
        <v>1396</v>
      </c>
      <c r="AD40" s="37">
        <f t="shared" si="46"/>
        <v>9269</v>
      </c>
      <c r="AE40" s="40">
        <f t="shared" si="47"/>
        <v>365</v>
      </c>
      <c r="AF40" s="36">
        <f t="shared" si="48"/>
        <v>1396</v>
      </c>
      <c r="AG40" s="36">
        <f t="shared" si="49"/>
        <v>127585</v>
      </c>
      <c r="AH40" s="41"/>
    </row>
    <row r="41" spans="2:34" x14ac:dyDescent="0.3">
      <c r="B41" s="31">
        <v>16</v>
      </c>
      <c r="C41" s="42" t="s">
        <v>81</v>
      </c>
      <c r="D41" s="33">
        <v>42493</v>
      </c>
      <c r="E41" s="33">
        <v>76925</v>
      </c>
      <c r="F41" s="32">
        <f t="shared" si="28"/>
        <v>34433</v>
      </c>
      <c r="G41" s="72"/>
      <c r="H41" s="34">
        <v>18000</v>
      </c>
      <c r="I41" s="35"/>
      <c r="J41" s="36"/>
      <c r="K41" s="32"/>
      <c r="L41" s="36"/>
      <c r="M41" s="37"/>
      <c r="N41" s="38"/>
      <c r="O41" s="39"/>
      <c r="P41" s="40"/>
      <c r="Q41" s="36"/>
      <c r="R41" s="37"/>
      <c r="S41" s="40"/>
      <c r="T41" s="36"/>
      <c r="U41" s="37"/>
      <c r="V41" s="40"/>
      <c r="W41" s="36"/>
      <c r="X41" s="37"/>
      <c r="Y41" s="40">
        <f>+$Y$4-$D$41</f>
        <v>332</v>
      </c>
      <c r="Z41" s="36">
        <f t="shared" si="42"/>
        <v>174</v>
      </c>
      <c r="AA41" s="37">
        <f t="shared" si="43"/>
        <v>174</v>
      </c>
      <c r="AB41" s="37">
        <f t="shared" si="44"/>
        <v>365</v>
      </c>
      <c r="AC41" s="37">
        <f t="shared" si="45"/>
        <v>191</v>
      </c>
      <c r="AD41" s="37">
        <f t="shared" si="46"/>
        <v>365</v>
      </c>
      <c r="AE41" s="40">
        <f t="shared" si="47"/>
        <v>365</v>
      </c>
      <c r="AF41" s="36">
        <f t="shared" si="48"/>
        <v>191</v>
      </c>
      <c r="AG41" s="36">
        <f t="shared" si="49"/>
        <v>17444</v>
      </c>
      <c r="AH41" s="41"/>
    </row>
    <row r="42" spans="2:34" x14ac:dyDescent="0.3">
      <c r="B42" s="31"/>
      <c r="C42" s="42"/>
      <c r="D42" s="33"/>
      <c r="E42" s="33"/>
      <c r="F42" s="32"/>
      <c r="G42" s="72"/>
      <c r="H42" s="34"/>
      <c r="I42" s="35"/>
      <c r="J42" s="36"/>
      <c r="K42" s="32"/>
      <c r="L42" s="36"/>
      <c r="M42" s="37"/>
      <c r="N42" s="38"/>
      <c r="O42" s="39"/>
      <c r="P42" s="40"/>
      <c r="Q42" s="36"/>
      <c r="R42" s="37"/>
      <c r="S42" s="40"/>
      <c r="T42" s="36"/>
      <c r="U42" s="37"/>
      <c r="V42" s="40"/>
      <c r="W42" s="36"/>
      <c r="X42" s="37"/>
      <c r="Y42" s="40"/>
      <c r="Z42" s="36"/>
      <c r="AA42" s="37"/>
      <c r="AB42" s="37"/>
      <c r="AC42" s="37"/>
      <c r="AD42" s="37"/>
      <c r="AE42" s="40"/>
      <c r="AF42" s="36"/>
      <c r="AG42" s="36"/>
    </row>
    <row r="43" spans="2:34" x14ac:dyDescent="0.3">
      <c r="B43" s="31"/>
      <c r="C43" s="42"/>
      <c r="D43" s="33"/>
      <c r="E43" s="33"/>
      <c r="F43" s="32"/>
      <c r="G43" s="32"/>
      <c r="H43" s="36"/>
      <c r="I43" s="35"/>
      <c r="J43" s="36"/>
      <c r="K43" s="32"/>
      <c r="L43" s="36"/>
      <c r="M43" s="32"/>
      <c r="N43" s="61"/>
      <c r="P43" s="32"/>
      <c r="Q43" s="36"/>
      <c r="R43" s="32"/>
      <c r="S43" s="32"/>
      <c r="T43" s="36"/>
      <c r="U43" s="32"/>
      <c r="V43" s="32"/>
      <c r="W43" s="36"/>
      <c r="X43" s="32"/>
      <c r="Y43" s="32"/>
      <c r="Z43" s="36"/>
      <c r="AA43" s="32"/>
      <c r="AB43" s="32"/>
      <c r="AC43" s="32"/>
      <c r="AD43" s="32"/>
      <c r="AE43" s="32"/>
      <c r="AF43" s="36"/>
      <c r="AG43" s="36"/>
    </row>
    <row r="44" spans="2:34" x14ac:dyDescent="0.3">
      <c r="B44" s="31"/>
      <c r="C44" s="43" t="s">
        <v>55</v>
      </c>
      <c r="D44" s="44"/>
      <c r="E44" s="44"/>
      <c r="F44" s="45"/>
      <c r="G44" s="74">
        <f>+G26+G38</f>
        <v>434.03499999999997</v>
      </c>
      <c r="H44" s="46">
        <f>+SUM(H26:H43)</f>
        <v>902217640</v>
      </c>
      <c r="I44" s="47"/>
      <c r="J44" s="46">
        <f>+SUM(J26:J43)</f>
        <v>7737725</v>
      </c>
      <c r="K44" s="46"/>
      <c r="L44" s="46">
        <f>+SUM(L26:L43)</f>
        <v>12424768</v>
      </c>
      <c r="M44" s="46">
        <f>+SUM(M26:M43)</f>
        <v>20162493</v>
      </c>
      <c r="N44" s="49">
        <f>+SUM(N26:N43)</f>
        <v>20162494</v>
      </c>
      <c r="P44" s="46"/>
      <c r="Q44" s="46">
        <f>+SUM(Q26:Q43)</f>
        <v>12478836</v>
      </c>
      <c r="R44" s="46">
        <f>+SUM(R26:R43)</f>
        <v>32641329</v>
      </c>
      <c r="S44" s="46"/>
      <c r="T44" s="46">
        <f>+SUM(T26:T43)</f>
        <v>281930</v>
      </c>
      <c r="U44" s="46">
        <f>+SUM(U26:U43)</f>
        <v>32923259</v>
      </c>
      <c r="V44" s="46"/>
      <c r="W44" s="46">
        <f>+SUM(W26:W43)</f>
        <v>9139278</v>
      </c>
      <c r="X44" s="46">
        <f>+SUM(X26:X43)</f>
        <v>42062537</v>
      </c>
      <c r="Y44" s="46"/>
      <c r="Z44" s="46">
        <f>+SUM(Z26:Z43)</f>
        <v>9109418</v>
      </c>
      <c r="AA44" s="46">
        <f>+SUM(AA26:AA43)</f>
        <v>51171955</v>
      </c>
      <c r="AB44" s="46"/>
      <c r="AC44" s="46">
        <f t="shared" ref="AC44:AD44" si="52">+SUM(AC26:AC43)</f>
        <v>9109435</v>
      </c>
      <c r="AD44" s="46">
        <f t="shared" si="52"/>
        <v>60281390</v>
      </c>
      <c r="AE44" s="46"/>
      <c r="AF44" s="46">
        <f>+SUM(AF26:AF43)</f>
        <v>9109435</v>
      </c>
      <c r="AG44" s="46">
        <f>+SUM(AG26:AG43)</f>
        <v>832826815</v>
      </c>
    </row>
    <row r="45" spans="2:34" x14ac:dyDescent="0.3">
      <c r="B45" s="75" t="s">
        <v>82</v>
      </c>
      <c r="C45" s="76" t="s">
        <v>83</v>
      </c>
      <c r="D45" s="77"/>
      <c r="E45" s="77"/>
      <c r="F45" s="78"/>
      <c r="G45" s="78"/>
      <c r="H45" s="79"/>
      <c r="I45" s="80"/>
      <c r="J45" s="78"/>
      <c r="K45" s="78"/>
      <c r="L45" s="79"/>
      <c r="M45" s="78"/>
      <c r="N45" s="81"/>
      <c r="P45" s="78"/>
      <c r="Q45" s="79"/>
      <c r="R45" s="78"/>
      <c r="S45" s="78"/>
      <c r="T45" s="79"/>
      <c r="U45" s="78"/>
      <c r="V45" s="78"/>
      <c r="W45" s="79"/>
      <c r="X45" s="78"/>
      <c r="Y45" s="78"/>
      <c r="Z45" s="79"/>
      <c r="AA45" s="78"/>
      <c r="AB45" s="78"/>
      <c r="AC45" s="78"/>
      <c r="AD45" s="78"/>
      <c r="AE45" s="78"/>
      <c r="AF45" s="79"/>
      <c r="AG45" s="79"/>
    </row>
    <row r="46" spans="2:34" x14ac:dyDescent="0.3">
      <c r="B46" s="31">
        <v>1</v>
      </c>
      <c r="C46" s="42" t="s">
        <v>84</v>
      </c>
      <c r="D46" s="33">
        <v>41449</v>
      </c>
      <c r="E46" s="33">
        <v>77607</v>
      </c>
      <c r="F46" s="32">
        <f>E46-D46+1</f>
        <v>36159</v>
      </c>
      <c r="G46" s="72">
        <v>3.62</v>
      </c>
      <c r="H46" s="34">
        <v>362000</v>
      </c>
      <c r="I46" s="35"/>
      <c r="J46" s="36"/>
      <c r="K46" s="32"/>
      <c r="L46" s="36"/>
      <c r="M46" s="37"/>
      <c r="N46" s="38"/>
      <c r="O46" s="39"/>
      <c r="P46" s="40">
        <f>+$P$4-D46+1</f>
        <v>281</v>
      </c>
      <c r="Q46" s="36">
        <f>ROUND(H46/F46*P46,)</f>
        <v>2813</v>
      </c>
      <c r="R46" s="37">
        <f>+M46+Q46</f>
        <v>2813</v>
      </c>
      <c r="S46" s="40">
        <f>$S$4-D46+1</f>
        <v>646</v>
      </c>
      <c r="T46" s="36">
        <f>ROUND(H46/F46*S46,)</f>
        <v>6467</v>
      </c>
      <c r="U46" s="37">
        <f>+R46+T46</f>
        <v>9280</v>
      </c>
      <c r="V46" s="40">
        <f>$V$4-$S$4</f>
        <v>366</v>
      </c>
      <c r="W46" s="36">
        <f>ROUND(H46/F46*V46,)</f>
        <v>3664</v>
      </c>
      <c r="X46" s="37">
        <f>+U46+W46</f>
        <v>12944</v>
      </c>
      <c r="Y46" s="40">
        <f>+$Y$4-$V$4</f>
        <v>365</v>
      </c>
      <c r="Z46" s="36">
        <f>+ROUND(H46/F46*Y46,)</f>
        <v>3654</v>
      </c>
      <c r="AA46" s="37">
        <f>+X46+Z46</f>
        <v>16598</v>
      </c>
      <c r="AB46" s="37">
        <f t="shared" ref="AB46:AB47" si="53">$AB$4-$Y$4</f>
        <v>365</v>
      </c>
      <c r="AC46" s="37">
        <f t="shared" ref="AC46:AC47" si="54">+ROUND(H46/F46*AB46,)</f>
        <v>3654</v>
      </c>
      <c r="AD46" s="37">
        <f t="shared" ref="AD46:AD47" si="55">+AA46+AC46</f>
        <v>20252</v>
      </c>
      <c r="AE46" s="40">
        <f>+$AE$4-$Y$4</f>
        <v>730</v>
      </c>
      <c r="AF46" s="36">
        <f>ROUND(H46/F46*AE46,)</f>
        <v>7308</v>
      </c>
      <c r="AG46" s="36">
        <f t="shared" ref="AG46:AG47" si="56">H46-AD46-AF46</f>
        <v>334440</v>
      </c>
      <c r="AH46" s="41"/>
    </row>
    <row r="47" spans="2:34" s="83" customFormat="1" x14ac:dyDescent="0.3">
      <c r="B47" s="82">
        <v>2</v>
      </c>
      <c r="C47" s="62" t="s">
        <v>85</v>
      </c>
      <c r="D47" s="63">
        <v>41449</v>
      </c>
      <c r="E47" s="63">
        <v>77607</v>
      </c>
      <c r="F47" s="64">
        <f>E47-D47+1</f>
        <v>36159</v>
      </c>
      <c r="G47" s="65">
        <f>-3.62</f>
        <v>-3.62</v>
      </c>
      <c r="H47" s="73">
        <f>+H46*-1</f>
        <v>-362000</v>
      </c>
      <c r="I47" s="67"/>
      <c r="J47" s="66"/>
      <c r="K47" s="64"/>
      <c r="L47" s="66"/>
      <c r="M47" s="68"/>
      <c r="N47" s="69"/>
      <c r="O47" s="70"/>
      <c r="P47" s="71"/>
      <c r="Q47" s="66"/>
      <c r="R47" s="68">
        <f>+M47+Q47</f>
        <v>0</v>
      </c>
      <c r="S47" s="71">
        <f>$S$4-D47+1</f>
        <v>646</v>
      </c>
      <c r="T47" s="66">
        <f>ROUND(H47/F47*S47,)</f>
        <v>-6467</v>
      </c>
      <c r="U47" s="68">
        <f>+R47+T47</f>
        <v>-6467</v>
      </c>
      <c r="V47" s="40">
        <f>$V$4-$S$4</f>
        <v>366</v>
      </c>
      <c r="W47" s="36">
        <f>ROUND(H47/F47*V47,)</f>
        <v>-3664</v>
      </c>
      <c r="X47" s="37">
        <f>+U47+W47</f>
        <v>-10131</v>
      </c>
      <c r="Y47" s="40">
        <f>+$Y$4-$V$4</f>
        <v>365</v>
      </c>
      <c r="Z47" s="36">
        <f>+ROUND(H47/F47*Y47,)</f>
        <v>-3654</v>
      </c>
      <c r="AA47" s="37">
        <f>+X47+Z47</f>
        <v>-13785</v>
      </c>
      <c r="AB47" s="37">
        <f t="shared" si="53"/>
        <v>365</v>
      </c>
      <c r="AC47" s="37">
        <f t="shared" si="54"/>
        <v>-3654</v>
      </c>
      <c r="AD47" s="37">
        <f t="shared" si="55"/>
        <v>-17439</v>
      </c>
      <c r="AE47" s="40">
        <f>+$AE$4-$Y$4</f>
        <v>730</v>
      </c>
      <c r="AF47" s="36">
        <f>ROUND(H47/F47*AE47,)</f>
        <v>-7308</v>
      </c>
      <c r="AG47" s="36">
        <f t="shared" si="56"/>
        <v>-337253</v>
      </c>
      <c r="AH47" s="41"/>
    </row>
    <row r="48" spans="2:34" x14ac:dyDescent="0.3">
      <c r="B48" s="31"/>
      <c r="C48" s="42"/>
      <c r="D48" s="33"/>
      <c r="E48" s="33"/>
      <c r="F48" s="32"/>
      <c r="G48" s="72"/>
      <c r="H48" s="34"/>
      <c r="I48" s="35"/>
      <c r="J48" s="36"/>
      <c r="K48" s="32"/>
      <c r="L48" s="36"/>
      <c r="M48" s="37"/>
      <c r="N48" s="38"/>
      <c r="O48" s="39"/>
      <c r="P48" s="40"/>
      <c r="Q48" s="36"/>
      <c r="R48" s="37"/>
      <c r="S48" s="40"/>
      <c r="T48" s="36"/>
      <c r="U48" s="37"/>
      <c r="V48" s="40"/>
      <c r="W48" s="36"/>
      <c r="X48" s="37"/>
      <c r="Y48" s="40"/>
      <c r="Z48" s="36"/>
      <c r="AA48" s="37"/>
      <c r="AB48" s="37"/>
      <c r="AC48" s="37"/>
      <c r="AD48" s="37"/>
      <c r="AE48" s="40"/>
      <c r="AF48" s="36"/>
      <c r="AG48" s="36"/>
    </row>
    <row r="49" spans="1:35" x14ac:dyDescent="0.3">
      <c r="B49" s="31"/>
      <c r="C49" s="43" t="s">
        <v>55</v>
      </c>
      <c r="D49" s="44"/>
      <c r="E49" s="44"/>
      <c r="F49" s="45"/>
      <c r="G49" s="84">
        <f>+G46+G47</f>
        <v>0</v>
      </c>
      <c r="H49" s="46">
        <f>+SUM(H46:H48)</f>
        <v>0</v>
      </c>
      <c r="I49" s="47"/>
      <c r="J49" s="46">
        <f>+SUM(J30:J48)</f>
        <v>7737725</v>
      </c>
      <c r="K49" s="46"/>
      <c r="L49" s="46">
        <f>+SUM(L46:L48)</f>
        <v>0</v>
      </c>
      <c r="M49" s="46">
        <f>+SUM(M46:M48)</f>
        <v>0</v>
      </c>
      <c r="N49" s="49">
        <f>+SUM(N46:N48)</f>
        <v>0</v>
      </c>
      <c r="P49" s="46"/>
      <c r="Q49" s="46">
        <f>+SUM(Q46:Q48)</f>
        <v>2813</v>
      </c>
      <c r="R49" s="46">
        <f>+SUM(R46:R48)</f>
        <v>2813</v>
      </c>
      <c r="S49" s="46"/>
      <c r="T49" s="46">
        <f>+SUM(T46:T48)</f>
        <v>0</v>
      </c>
      <c r="U49" s="46">
        <f>+SUM(U46:U48)</f>
        <v>2813</v>
      </c>
      <c r="V49" s="46"/>
      <c r="W49" s="46">
        <f>+SUM(W46:W48)</f>
        <v>0</v>
      </c>
      <c r="X49" s="46">
        <f>+SUM(X46:X48)</f>
        <v>2813</v>
      </c>
      <c r="Y49" s="46"/>
      <c r="Z49" s="46">
        <f>+SUM(Z46:Z48)</f>
        <v>0</v>
      </c>
      <c r="AA49" s="46">
        <f>+SUM(AA46:AA48)</f>
        <v>2813</v>
      </c>
      <c r="AB49" s="46"/>
      <c r="AC49" s="46">
        <f>+SUM(AC46:AC48)</f>
        <v>0</v>
      </c>
      <c r="AD49" s="46">
        <f>+SUM(AD46:AD48)</f>
        <v>2813</v>
      </c>
      <c r="AE49" s="46"/>
      <c r="AF49" s="46">
        <f>+SUM(AF46:AF48)</f>
        <v>0</v>
      </c>
      <c r="AG49" s="46">
        <f>+SUM(AG46:AG48)</f>
        <v>-2813</v>
      </c>
    </row>
    <row r="50" spans="1:35" x14ac:dyDescent="0.3">
      <c r="B50" s="85"/>
      <c r="C50" s="86"/>
      <c r="D50" s="87"/>
      <c r="E50" s="87"/>
      <c r="F50" s="86"/>
      <c r="G50" s="86"/>
      <c r="H50" s="88"/>
      <c r="I50" s="89"/>
      <c r="J50" s="86"/>
      <c r="K50" s="86"/>
      <c r="L50" s="88"/>
      <c r="M50" s="86"/>
      <c r="N50" s="90"/>
      <c r="P50" s="86"/>
      <c r="Q50" s="88"/>
      <c r="R50" s="86"/>
      <c r="S50" s="86"/>
      <c r="T50" s="88"/>
      <c r="U50" s="86"/>
      <c r="V50" s="86"/>
      <c r="W50" s="88"/>
      <c r="X50" s="86"/>
      <c r="Y50" s="86"/>
      <c r="Z50" s="88"/>
      <c r="AA50" s="86"/>
      <c r="AB50" s="86"/>
      <c r="AC50" s="86"/>
      <c r="AD50" s="86"/>
      <c r="AE50" s="86"/>
      <c r="AF50" s="88"/>
      <c r="AG50" s="88"/>
    </row>
    <row r="51" spans="1:35" x14ac:dyDescent="0.3">
      <c r="B51" s="85"/>
      <c r="C51" s="86"/>
      <c r="D51" s="87"/>
      <c r="E51" s="87"/>
      <c r="F51" s="86"/>
      <c r="G51" s="86"/>
      <c r="H51" s="88"/>
      <c r="I51" s="89"/>
      <c r="J51" s="86"/>
      <c r="K51" s="86"/>
      <c r="L51" s="88"/>
      <c r="M51" s="86"/>
      <c r="N51" s="90"/>
      <c r="P51" s="86"/>
      <c r="Q51" s="88"/>
      <c r="R51" s="86"/>
      <c r="S51" s="86"/>
      <c r="T51" s="88"/>
      <c r="U51" s="86"/>
      <c r="V51" s="86"/>
      <c r="W51" s="88"/>
      <c r="X51" s="86"/>
      <c r="Y51" s="86"/>
      <c r="Z51" s="88"/>
      <c r="AA51" s="86"/>
      <c r="AB51" s="86"/>
      <c r="AC51" s="86"/>
      <c r="AD51" s="86"/>
      <c r="AE51" s="86"/>
      <c r="AF51" s="88"/>
      <c r="AG51" s="88"/>
    </row>
    <row r="52" spans="1:35" ht="13.8" thickBot="1" x14ac:dyDescent="0.35">
      <c r="B52" s="85"/>
      <c r="C52" s="86"/>
      <c r="D52" s="87"/>
      <c r="E52" s="87"/>
      <c r="F52" s="86"/>
      <c r="G52" s="86"/>
      <c r="H52" s="88"/>
      <c r="I52" s="89"/>
      <c r="J52" s="86"/>
      <c r="K52" s="86"/>
      <c r="L52" s="88"/>
      <c r="M52" s="86"/>
      <c r="N52" s="90"/>
      <c r="P52" s="86"/>
      <c r="Q52" s="88"/>
      <c r="R52" s="86"/>
      <c r="S52" s="86"/>
      <c r="T52" s="88"/>
      <c r="U52" s="86"/>
      <c r="V52" s="86"/>
      <c r="W52" s="88"/>
      <c r="X52" s="86"/>
      <c r="Y52" s="86"/>
      <c r="Z52" s="88"/>
      <c r="AA52" s="86"/>
      <c r="AB52" s="86"/>
      <c r="AC52" s="86"/>
      <c r="AD52" s="86"/>
      <c r="AE52" s="86"/>
      <c r="AF52" s="88"/>
      <c r="AG52" s="88"/>
    </row>
    <row r="53" spans="1:35" ht="13.8" thickBot="1" x14ac:dyDescent="0.35">
      <c r="B53" s="91"/>
      <c r="C53" s="92" t="s">
        <v>13</v>
      </c>
      <c r="D53" s="92"/>
      <c r="E53" s="92"/>
      <c r="F53" s="92"/>
      <c r="G53" s="93">
        <f>+G44+G24+G15+G49</f>
        <v>966.70500000000004</v>
      </c>
      <c r="H53" s="92">
        <f>+SUM(H8:H52)/2</f>
        <v>1374502107</v>
      </c>
      <c r="I53" s="92"/>
      <c r="J53" s="92">
        <f>+SUM(J8:J44)/2</f>
        <v>20809597</v>
      </c>
      <c r="K53" s="92"/>
      <c r="L53" s="92">
        <f>+SUM(L8:L52)/2</f>
        <v>18011363</v>
      </c>
      <c r="M53" s="92">
        <f>+SUM(M8:M52)/2</f>
        <v>38820960</v>
      </c>
      <c r="N53" s="94">
        <f>+SUM(N8:N52)/2</f>
        <v>38820962</v>
      </c>
      <c r="O53" s="19">
        <f>+SUM(O8:O44)/2</f>
        <v>-1</v>
      </c>
      <c r="P53" s="92"/>
      <c r="Q53" s="92">
        <f>+SUM(Q8:Q52)/2</f>
        <v>18086557</v>
      </c>
      <c r="R53" s="92">
        <f>+SUM(R8:R52)/2</f>
        <v>56907517</v>
      </c>
      <c r="S53" s="92"/>
      <c r="T53" s="92">
        <f>+SUM(T8:T52)/2</f>
        <v>1994578</v>
      </c>
      <c r="U53" s="92">
        <f>+SUM(U8:U52)/2</f>
        <v>58902095</v>
      </c>
      <c r="V53" s="92"/>
      <c r="W53" s="92">
        <f>+SUM(W8:W52)/2</f>
        <v>13960570</v>
      </c>
      <c r="X53" s="92">
        <f>+SUM(X8:X52)/2</f>
        <v>72862665</v>
      </c>
      <c r="Y53" s="92"/>
      <c r="Z53" s="92">
        <f>+SUM(Z8:Z52)/2</f>
        <v>13917537</v>
      </c>
      <c r="AA53" s="92">
        <f>+SUM(AA8:AA52)/2</f>
        <v>86780202</v>
      </c>
      <c r="AB53" s="92"/>
      <c r="AC53" s="92">
        <f>+SUM(AC8:AC52)/2</f>
        <v>13917554</v>
      </c>
      <c r="AD53" s="92">
        <f>+SUM(AD8:AD52)/2</f>
        <v>100697756</v>
      </c>
      <c r="AE53" s="92"/>
      <c r="AF53" s="92">
        <f>+SUM(AF8:AF52)/2</f>
        <v>13917554</v>
      </c>
      <c r="AG53" s="92">
        <f>+SUM(AG8:AG52)/2</f>
        <v>1259886797</v>
      </c>
      <c r="AH53" s="95">
        <f>+H53-X53-AF53-AG53</f>
        <v>27835091</v>
      </c>
      <c r="AI53" s="95"/>
    </row>
    <row r="54" spans="1:35" ht="13.8" thickTop="1" x14ac:dyDescent="0.3">
      <c r="H54" s="97"/>
      <c r="I54" s="98"/>
      <c r="J54" s="39"/>
    </row>
    <row r="55" spans="1:35" x14ac:dyDescent="0.3">
      <c r="C55" s="20" t="s">
        <v>86</v>
      </c>
      <c r="G55" s="97" t="s">
        <v>87</v>
      </c>
      <c r="H55" s="97">
        <v>1374502107</v>
      </c>
      <c r="I55" s="98"/>
      <c r="J55" s="97">
        <f>21243486-433889</f>
        <v>20809597</v>
      </c>
      <c r="M55" s="39">
        <f>+J53+L53</f>
        <v>38820960</v>
      </c>
      <c r="N55" s="39"/>
      <c r="R55" s="39">
        <f>+M53+Q53</f>
        <v>56907517</v>
      </c>
      <c r="U55" s="39">
        <f>+R53+T53</f>
        <v>58902095</v>
      </c>
      <c r="W55" s="97">
        <f>+W53</f>
        <v>13960570</v>
      </c>
      <c r="X55" s="39">
        <f>+U53+W53</f>
        <v>72862665</v>
      </c>
      <c r="Z55" s="99">
        <f>+Z53</f>
        <v>13917537</v>
      </c>
      <c r="AA55" s="39">
        <f>+X53+Z53</f>
        <v>86780202</v>
      </c>
      <c r="AB55" s="39"/>
      <c r="AC55" s="99">
        <f>+AC53</f>
        <v>13917554</v>
      </c>
      <c r="AD55" s="39">
        <f>+AA53+AC53</f>
        <v>100697756</v>
      </c>
      <c r="AF55" s="97">
        <f>13917363+191</f>
        <v>13917554</v>
      </c>
      <c r="AG55" s="97">
        <f>+H53-AD53-AF53</f>
        <v>1259886797</v>
      </c>
    </row>
    <row r="56" spans="1:35" x14ac:dyDescent="0.3">
      <c r="C56" s="20" t="s">
        <v>88</v>
      </c>
      <c r="H56" s="97">
        <f>+H53-H55</f>
        <v>0</v>
      </c>
      <c r="J56" s="95">
        <f>+J53-J55</f>
        <v>0</v>
      </c>
      <c r="M56" s="39">
        <f>+M53-M55</f>
        <v>0</v>
      </c>
      <c r="R56" s="39">
        <f>+R53-R55</f>
        <v>0</v>
      </c>
      <c r="U56" s="39">
        <f>+U53-U55</f>
        <v>0</v>
      </c>
      <c r="W56" s="39">
        <f>+W53-W55</f>
        <v>0</v>
      </c>
      <c r="X56" s="39">
        <f>+X53-X55</f>
        <v>0</v>
      </c>
      <c r="Z56" s="39">
        <f>+Z53-Z55</f>
        <v>0</v>
      </c>
      <c r="AA56" s="39">
        <f>+AA53-AA55</f>
        <v>0</v>
      </c>
      <c r="AB56" s="39"/>
      <c r="AC56" s="39">
        <f>+AC53-AC55</f>
        <v>0</v>
      </c>
      <c r="AD56" s="39">
        <f>+AD53-AD55</f>
        <v>0</v>
      </c>
      <c r="AF56" s="97">
        <f>+AF53-AF55</f>
        <v>0</v>
      </c>
      <c r="AG56" s="39">
        <f>+AG53-AG55</f>
        <v>0</v>
      </c>
    </row>
    <row r="57" spans="1:35" x14ac:dyDescent="0.3">
      <c r="A57" s="20">
        <v>4</v>
      </c>
      <c r="H57" s="97"/>
      <c r="N57" s="97"/>
      <c r="R57" s="95">
        <f>+H53-R53</f>
        <v>1317594590</v>
      </c>
      <c r="U57" s="95">
        <f>+H53-U53</f>
        <v>1315600012</v>
      </c>
      <c r="X57" s="95">
        <f>+H53-X53</f>
        <v>1301639442</v>
      </c>
      <c r="AA57" s="95">
        <f>+H53-AA53</f>
        <v>1287721905</v>
      </c>
      <c r="AB57" s="95"/>
      <c r="AC57" s="97"/>
      <c r="AD57" s="95"/>
    </row>
    <row r="58" spans="1:35" s="100" customFormat="1" x14ac:dyDescent="0.3">
      <c r="B58" s="101"/>
      <c r="C58" s="102" t="s">
        <v>89</v>
      </c>
      <c r="D58" s="101" t="s">
        <v>43</v>
      </c>
      <c r="E58" s="101" t="s">
        <v>44</v>
      </c>
      <c r="F58" s="100" t="s">
        <v>26</v>
      </c>
      <c r="G58" s="101" t="s">
        <v>9</v>
      </c>
      <c r="H58" s="103"/>
      <c r="J58" s="104"/>
      <c r="L58" s="105"/>
      <c r="Q58" s="105"/>
      <c r="R58" s="104">
        <f>+H80-R53</f>
        <v>-56907517</v>
      </c>
      <c r="T58" s="105"/>
      <c r="U58" s="104"/>
      <c r="W58" s="105"/>
      <c r="X58" s="104"/>
      <c r="Z58" s="105"/>
      <c r="AA58" s="104"/>
      <c r="AB58" s="104"/>
      <c r="AC58" s="104"/>
      <c r="AD58" s="104"/>
      <c r="AF58" s="105"/>
      <c r="AG58" s="105"/>
    </row>
    <row r="59" spans="1:35" s="100" customFormat="1" x14ac:dyDescent="0.3">
      <c r="B59" s="101" t="s">
        <v>64</v>
      </c>
      <c r="C59" s="100" t="s">
        <v>90</v>
      </c>
      <c r="D59" s="106">
        <v>40767</v>
      </c>
      <c r="E59" s="106">
        <v>76925</v>
      </c>
      <c r="F59" s="107">
        <f>E59-D59+1</f>
        <v>36159</v>
      </c>
      <c r="G59" s="100">
        <v>162.85</v>
      </c>
      <c r="H59" s="105"/>
      <c r="L59" s="105"/>
      <c r="Q59" s="105"/>
      <c r="T59" s="105"/>
      <c r="W59" s="105"/>
      <c r="Z59" s="105"/>
      <c r="AF59" s="105"/>
      <c r="AG59" s="105"/>
    </row>
    <row r="60" spans="1:35" s="100" customFormat="1" x14ac:dyDescent="0.3">
      <c r="B60" s="101" t="s">
        <v>82</v>
      </c>
      <c r="C60" s="100" t="s">
        <v>91</v>
      </c>
      <c r="D60" s="106">
        <v>41449</v>
      </c>
      <c r="E60" s="106">
        <v>77607</v>
      </c>
      <c r="F60" s="107">
        <f>E60-D60+1</f>
        <v>36159</v>
      </c>
      <c r="G60" s="100">
        <v>3.62</v>
      </c>
      <c r="H60" s="105"/>
      <c r="J60" s="104"/>
      <c r="L60" s="105"/>
      <c r="Q60" s="105"/>
      <c r="T60" s="105"/>
      <c r="W60" s="105"/>
      <c r="Z60" s="105"/>
      <c r="AF60" s="105"/>
      <c r="AG60" s="105"/>
    </row>
    <row r="61" spans="1:35" s="100" customFormat="1" x14ac:dyDescent="0.3">
      <c r="B61" s="101"/>
      <c r="C61" s="100" t="s">
        <v>92</v>
      </c>
      <c r="D61" s="106"/>
      <c r="E61" s="106"/>
      <c r="F61" s="107"/>
      <c r="H61" s="105"/>
      <c r="J61" s="104"/>
      <c r="L61" s="105"/>
      <c r="Q61" s="105"/>
      <c r="T61" s="105"/>
      <c r="U61" s="100" t="e">
        <f>+'[1]FA Summary'!#REF!</f>
        <v>#REF!</v>
      </c>
      <c r="W61" s="105"/>
      <c r="Z61" s="105"/>
      <c r="AF61" s="105"/>
      <c r="AG61" s="105"/>
    </row>
    <row r="62" spans="1:35" s="100" customFormat="1" x14ac:dyDescent="0.3">
      <c r="B62" s="101"/>
      <c r="D62" s="106"/>
      <c r="E62" s="106"/>
      <c r="F62" s="107"/>
      <c r="H62" s="108"/>
      <c r="L62" s="105"/>
      <c r="Q62" s="105"/>
      <c r="T62" s="105"/>
      <c r="U62" s="104" t="e">
        <f>+U61-U53</f>
        <v>#REF!</v>
      </c>
      <c r="W62" s="105"/>
      <c r="X62" s="104"/>
      <c r="Z62" s="105"/>
      <c r="AA62" s="104"/>
      <c r="AB62" s="104"/>
      <c r="AC62" s="104"/>
      <c r="AD62" s="104"/>
      <c r="AF62" s="105"/>
      <c r="AG62" s="105"/>
    </row>
    <row r="63" spans="1:35" s="100" customFormat="1" x14ac:dyDescent="0.3">
      <c r="B63" s="101"/>
      <c r="C63" s="100" t="s">
        <v>93</v>
      </c>
      <c r="D63" s="106"/>
      <c r="E63" s="106"/>
      <c r="F63" s="107"/>
      <c r="H63" s="105"/>
      <c r="L63" s="105"/>
      <c r="Q63" s="105"/>
      <c r="T63" s="105"/>
      <c r="W63" s="105"/>
      <c r="Z63" s="105"/>
      <c r="AF63" s="105"/>
      <c r="AG63" s="105"/>
    </row>
    <row r="64" spans="1:35" s="100" customFormat="1" x14ac:dyDescent="0.3">
      <c r="B64" s="101"/>
      <c r="C64" s="100" t="s">
        <v>94</v>
      </c>
      <c r="D64" s="106"/>
      <c r="E64" s="106"/>
      <c r="F64" s="107"/>
      <c r="H64" s="105"/>
      <c r="L64" s="105"/>
      <c r="Q64" s="105"/>
      <c r="T64" s="105"/>
      <c r="W64" s="105"/>
      <c r="Z64" s="105"/>
      <c r="AF64" s="105"/>
      <c r="AG64" s="105"/>
    </row>
    <row r="65" spans="2:33" s="100" customFormat="1" x14ac:dyDescent="0.3">
      <c r="B65" s="101"/>
      <c r="C65" s="100" t="s">
        <v>95</v>
      </c>
      <c r="D65" s="106"/>
      <c r="E65" s="106"/>
      <c r="F65" s="107"/>
      <c r="H65" s="105"/>
      <c r="L65" s="105"/>
      <c r="Q65" s="105"/>
      <c r="T65" s="105"/>
      <c r="W65" s="105"/>
      <c r="Z65" s="105"/>
      <c r="AF65" s="105"/>
      <c r="AG65" s="105"/>
    </row>
    <row r="66" spans="2:33" s="100" customFormat="1" x14ac:dyDescent="0.3">
      <c r="B66" s="101"/>
      <c r="D66" s="106"/>
      <c r="E66" s="106"/>
      <c r="F66" s="107"/>
      <c r="H66" s="105"/>
      <c r="L66" s="105"/>
      <c r="Q66" s="105"/>
      <c r="T66" s="105"/>
      <c r="W66" s="105"/>
      <c r="Z66" s="105"/>
      <c r="AF66" s="105"/>
      <c r="AG66" s="105"/>
    </row>
    <row r="67" spans="2:33" s="100" customFormat="1" x14ac:dyDescent="0.3">
      <c r="B67" s="109"/>
      <c r="C67" s="110" t="s">
        <v>96</v>
      </c>
      <c r="D67" s="111"/>
      <c r="E67" s="111"/>
      <c r="F67" s="110"/>
      <c r="G67" s="110"/>
      <c r="H67" s="112"/>
      <c r="L67" s="105"/>
      <c r="Q67" s="105"/>
      <c r="T67" s="105"/>
      <c r="W67" s="105"/>
      <c r="Z67" s="105"/>
      <c r="AF67" s="105"/>
      <c r="AG67" s="105"/>
    </row>
    <row r="68" spans="2:33" s="100" customFormat="1" x14ac:dyDescent="0.3">
      <c r="B68" s="101"/>
      <c r="D68" s="106"/>
      <c r="E68" s="106" t="s">
        <v>97</v>
      </c>
      <c r="F68" s="107"/>
      <c r="H68" s="108"/>
      <c r="L68" s="105"/>
      <c r="Q68" s="105"/>
      <c r="T68" s="105"/>
      <c r="W68" s="105"/>
      <c r="Z68" s="105"/>
      <c r="AF68" s="105"/>
      <c r="AG68" s="105"/>
    </row>
    <row r="69" spans="2:33" s="100" customFormat="1" x14ac:dyDescent="0.3">
      <c r="B69" s="101"/>
      <c r="D69" s="107"/>
      <c r="E69" s="107"/>
      <c r="F69" s="107"/>
      <c r="H69" s="105"/>
      <c r="L69" s="105"/>
      <c r="Q69" s="105"/>
      <c r="T69" s="105"/>
      <c r="W69" s="105"/>
      <c r="Z69" s="105"/>
      <c r="AF69" s="105"/>
      <c r="AG69" s="105"/>
    </row>
    <row r="70" spans="2:33" s="100" customFormat="1" x14ac:dyDescent="0.3">
      <c r="B70" s="101"/>
      <c r="C70" s="102" t="s">
        <v>98</v>
      </c>
      <c r="D70" s="107"/>
      <c r="E70" s="107"/>
      <c r="F70" s="107"/>
      <c r="H70" s="108"/>
      <c r="L70" s="105"/>
      <c r="Q70" s="105"/>
      <c r="T70" s="105"/>
      <c r="W70" s="105"/>
      <c r="Z70" s="105"/>
      <c r="AF70" s="105"/>
      <c r="AG70" s="105"/>
    </row>
    <row r="71" spans="2:33" s="100" customFormat="1" x14ac:dyDescent="0.3">
      <c r="B71" s="101" t="s">
        <v>57</v>
      </c>
      <c r="C71" s="100" t="s">
        <v>99</v>
      </c>
      <c r="D71" s="106">
        <v>40312</v>
      </c>
      <c r="E71" s="106">
        <v>76470</v>
      </c>
      <c r="F71" s="107">
        <f>E71-D71+1</f>
        <v>36159</v>
      </c>
      <c r="G71" s="113">
        <f>58.007*2.471</f>
        <v>143.335297</v>
      </c>
      <c r="H71" s="105"/>
      <c r="L71" s="105"/>
      <c r="Q71" s="105"/>
      <c r="T71" s="105"/>
      <c r="W71" s="105"/>
      <c r="Z71" s="105"/>
      <c r="AF71" s="105"/>
      <c r="AG71" s="105"/>
    </row>
    <row r="72" spans="2:33" s="100" customFormat="1" x14ac:dyDescent="0.3">
      <c r="B72" s="101" t="s">
        <v>57</v>
      </c>
      <c r="C72" s="100" t="s">
        <v>100</v>
      </c>
      <c r="D72" s="106">
        <v>40312</v>
      </c>
      <c r="E72" s="106">
        <v>76470</v>
      </c>
      <c r="F72" s="107">
        <f>E72-D72+1</f>
        <v>36159</v>
      </c>
      <c r="G72" s="113">
        <f>62.626*2.471</f>
        <v>154.74884599999999</v>
      </c>
      <c r="H72" s="105"/>
      <c r="L72" s="105"/>
      <c r="Q72" s="105"/>
      <c r="T72" s="105"/>
      <c r="W72" s="105"/>
      <c r="Z72" s="105"/>
      <c r="AF72" s="105"/>
      <c r="AG72" s="105"/>
    </row>
    <row r="73" spans="2:33" s="100" customFormat="1" x14ac:dyDescent="0.3">
      <c r="B73" s="101"/>
      <c r="C73" s="100" t="s">
        <v>92</v>
      </c>
      <c r="D73" s="106"/>
      <c r="E73" s="106"/>
      <c r="F73" s="107"/>
      <c r="G73" s="113"/>
      <c r="H73" s="105"/>
      <c r="L73" s="105"/>
      <c r="Q73" s="105"/>
      <c r="T73" s="105"/>
      <c r="W73" s="105"/>
      <c r="Z73" s="105"/>
      <c r="AF73" s="105"/>
      <c r="AG73" s="105"/>
    </row>
    <row r="74" spans="2:33" s="100" customFormat="1" x14ac:dyDescent="0.3">
      <c r="B74" s="101"/>
      <c r="D74" s="107"/>
      <c r="E74" s="107"/>
      <c r="F74" s="107"/>
      <c r="H74" s="108"/>
      <c r="L74" s="105"/>
      <c r="Q74" s="105">
        <v>86158727</v>
      </c>
      <c r="T74" s="105"/>
      <c r="W74" s="105"/>
      <c r="Z74" s="105"/>
      <c r="AF74" s="105"/>
      <c r="AG74" s="105"/>
    </row>
    <row r="75" spans="2:33" s="100" customFormat="1" x14ac:dyDescent="0.3">
      <c r="B75" s="101"/>
      <c r="C75" s="100" t="s">
        <v>101</v>
      </c>
      <c r="D75" s="107"/>
      <c r="E75" s="107"/>
      <c r="F75" s="107"/>
      <c r="H75" s="105"/>
      <c r="L75" s="105"/>
      <c r="Q75" s="105"/>
      <c r="T75" s="105"/>
      <c r="W75" s="105"/>
      <c r="Z75" s="105"/>
      <c r="AF75" s="105"/>
      <c r="AG75" s="105"/>
    </row>
    <row r="76" spans="2:33" s="100" customFormat="1" x14ac:dyDescent="0.3">
      <c r="B76" s="109"/>
      <c r="C76" s="110" t="s">
        <v>96</v>
      </c>
      <c r="D76" s="110"/>
      <c r="E76" s="110"/>
      <c r="F76" s="110"/>
      <c r="G76" s="110"/>
      <c r="H76" s="112"/>
      <c r="L76" s="105"/>
      <c r="Q76" s="105"/>
      <c r="T76" s="105"/>
      <c r="W76" s="105"/>
      <c r="Z76" s="105"/>
      <c r="AF76" s="105"/>
      <c r="AG76" s="105"/>
    </row>
    <row r="77" spans="2:33" s="100" customFormat="1" x14ac:dyDescent="0.3">
      <c r="B77" s="101"/>
      <c r="D77" s="107"/>
      <c r="E77" s="106" t="s">
        <v>102</v>
      </c>
      <c r="F77" s="107"/>
      <c r="H77" s="108"/>
      <c r="L77" s="105"/>
      <c r="Q77" s="105"/>
      <c r="T77" s="105"/>
      <c r="W77" s="105"/>
      <c r="Z77" s="105"/>
      <c r="AF77" s="105"/>
      <c r="AG77" s="105"/>
    </row>
    <row r="78" spans="2:33" s="100" customFormat="1" x14ac:dyDescent="0.3">
      <c r="B78" s="101"/>
      <c r="D78" s="107"/>
      <c r="E78" s="107"/>
      <c r="F78" s="107"/>
      <c r="H78" s="108"/>
      <c r="L78" s="105"/>
      <c r="Q78" s="105"/>
      <c r="T78" s="105"/>
      <c r="W78" s="105"/>
      <c r="Z78" s="105"/>
      <c r="AF78" s="105"/>
      <c r="AG78" s="105"/>
    </row>
    <row r="79" spans="2:33" s="100" customFormat="1" x14ac:dyDescent="0.3">
      <c r="B79" s="101"/>
      <c r="D79" s="107"/>
      <c r="E79" s="107"/>
      <c r="F79" s="107"/>
      <c r="H79" s="108"/>
      <c r="L79" s="105"/>
      <c r="Q79" s="105"/>
      <c r="T79" s="105"/>
      <c r="W79" s="105"/>
      <c r="Z79" s="105"/>
      <c r="AF79" s="105"/>
      <c r="AG79" s="105"/>
    </row>
    <row r="80" spans="2:33" x14ac:dyDescent="0.3">
      <c r="D80" s="114"/>
      <c r="E80" s="114"/>
      <c r="F80" s="114"/>
      <c r="H80" s="97"/>
      <c r="Q80" s="97">
        <f>+Q74-H74</f>
        <v>86158727</v>
      </c>
    </row>
    <row r="81" spans="4:31" s="20" customFormat="1" x14ac:dyDescent="0.3">
      <c r="D81" s="114"/>
      <c r="E81" s="114"/>
      <c r="F81" s="114"/>
      <c r="H81" s="97"/>
      <c r="L81" s="97"/>
      <c r="Q81" s="97"/>
      <c r="T81" s="97"/>
      <c r="W81" s="97"/>
      <c r="Z81" s="97"/>
    </row>
    <row r="82" spans="4:31" s="20" customFormat="1" x14ac:dyDescent="0.3">
      <c r="H82" s="97"/>
      <c r="L82" s="97"/>
      <c r="Q82" s="97"/>
      <c r="T82" s="97"/>
      <c r="W82" s="97"/>
      <c r="Z82" s="97"/>
    </row>
    <row r="83" spans="4:31" s="20" customFormat="1" x14ac:dyDescent="0.3">
      <c r="H83" s="97"/>
      <c r="L83" s="97"/>
      <c r="Q83" s="97"/>
      <c r="T83" s="97"/>
      <c r="W83" s="97"/>
      <c r="Z83" s="97"/>
    </row>
    <row r="84" spans="4:31" s="20" customFormat="1" x14ac:dyDescent="0.3">
      <c r="H84" s="97"/>
      <c r="L84" s="97"/>
      <c r="Q84" s="97"/>
      <c r="T84" s="97"/>
      <c r="W84" s="97"/>
      <c r="Z84" s="97"/>
    </row>
    <row r="85" spans="4:31" s="20" customFormat="1" x14ac:dyDescent="0.3">
      <c r="H85" s="97"/>
      <c r="L85" s="97"/>
      <c r="Q85" s="97"/>
      <c r="T85" s="97"/>
      <c r="U85" s="95">
        <f>+H53-U53-U57</f>
        <v>0</v>
      </c>
      <c r="W85" s="97"/>
      <c r="X85" s="95">
        <v>1301639440</v>
      </c>
      <c r="Z85" s="97"/>
      <c r="AA85" s="95">
        <f>1259843781+13960570</f>
        <v>1273804351</v>
      </c>
      <c r="AC85" s="39"/>
      <c r="AE85" s="39"/>
    </row>
    <row r="86" spans="4:31" s="20" customFormat="1" x14ac:dyDescent="0.3">
      <c r="H86" s="95"/>
      <c r="L86" s="97"/>
      <c r="Q86" s="97"/>
      <c r="T86" s="97"/>
      <c r="W86" s="97"/>
      <c r="X86" s="97">
        <f>+X57-X85</f>
        <v>2</v>
      </c>
      <c r="Z86" s="97"/>
      <c r="AA86" s="95">
        <f>+AA57-AA85</f>
        <v>13917554</v>
      </c>
      <c r="AC86" s="39"/>
      <c r="AD86" s="95"/>
    </row>
    <row r="87" spans="4:31" s="20" customFormat="1" x14ac:dyDescent="0.3">
      <c r="H87" s="95"/>
      <c r="L87" s="97"/>
      <c r="Q87" s="97"/>
      <c r="T87" s="97"/>
      <c r="V87" s="39"/>
      <c r="W87" s="97"/>
      <c r="X87" s="97"/>
      <c r="Y87" s="39"/>
      <c r="Z87" s="97"/>
      <c r="AA87" s="97">
        <f>13917552+13960570*0</f>
        <v>13917552</v>
      </c>
      <c r="AB87" s="97"/>
      <c r="AC87" s="97"/>
      <c r="AD87" s="97"/>
    </row>
    <row r="88" spans="4:31" s="20" customFormat="1" x14ac:dyDescent="0.3">
      <c r="H88" s="39"/>
      <c r="L88" s="97"/>
      <c r="Q88" s="97"/>
      <c r="T88" s="97"/>
      <c r="W88" s="97"/>
      <c r="Z88" s="97"/>
      <c r="AA88" s="97">
        <f>+AA86-AA87</f>
        <v>2</v>
      </c>
      <c r="AD88" s="39"/>
    </row>
    <row r="89" spans="4:31" s="20" customFormat="1" x14ac:dyDescent="0.3">
      <c r="L89" s="97"/>
      <c r="Q89" s="97"/>
      <c r="T89" s="97"/>
      <c r="W89" s="97"/>
      <c r="Z89" s="97"/>
      <c r="AA89" s="95"/>
    </row>
    <row r="90" spans="4:31" s="20" customFormat="1" x14ac:dyDescent="0.3">
      <c r="L90" s="97"/>
      <c r="Q90" s="97"/>
      <c r="T90" s="97"/>
      <c r="W90" s="97"/>
      <c r="Z90" s="97"/>
      <c r="AA90" s="95"/>
    </row>
    <row r="91" spans="4:31" s="20" customFormat="1" x14ac:dyDescent="0.3">
      <c r="L91" s="97"/>
      <c r="Q91" s="97"/>
      <c r="T91" s="97"/>
      <c r="W91" s="97"/>
      <c r="Z91" s="97"/>
      <c r="AA91" s="95"/>
    </row>
    <row r="92" spans="4:31" s="20" customFormat="1" x14ac:dyDescent="0.3">
      <c r="L92" s="97"/>
      <c r="Q92" s="97"/>
      <c r="T92" s="97"/>
      <c r="W92" s="97"/>
      <c r="Z92" s="97"/>
      <c r="AA92" s="95"/>
    </row>
  </sheetData>
  <mergeCells count="39">
    <mergeCell ref="Y4:AA4"/>
    <mergeCell ref="P5:P6"/>
    <mergeCell ref="AB4:AD4"/>
    <mergeCell ref="AE4:AG4"/>
    <mergeCell ref="B5:B6"/>
    <mergeCell ref="C5:C6"/>
    <mergeCell ref="D5:E5"/>
    <mergeCell ref="F5:F6"/>
    <mergeCell ref="G5:G6"/>
    <mergeCell ref="H5:H6"/>
    <mergeCell ref="I5:I6"/>
    <mergeCell ref="J5:J6"/>
    <mergeCell ref="I4:J4"/>
    <mergeCell ref="K4:N4"/>
    <mergeCell ref="P4:R4"/>
    <mergeCell ref="S4:U4"/>
    <mergeCell ref="V4:X4"/>
    <mergeCell ref="K5:K6"/>
    <mergeCell ref="L5:L6"/>
    <mergeCell ref="M5:M6"/>
    <mergeCell ref="N5:N6"/>
    <mergeCell ref="O5:O6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C5:AC6"/>
    <mergeCell ref="AD5:AD6"/>
    <mergeCell ref="AE5:AE6"/>
    <mergeCell ref="AF5:AF6"/>
    <mergeCell ref="AG5:A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B3" sqref="B3:K11"/>
    </sheetView>
  </sheetViews>
  <sheetFormatPr defaultRowHeight="14.4" x14ac:dyDescent="0.3"/>
  <cols>
    <col min="2" max="2" width="7.21875" customWidth="1"/>
    <col min="3" max="3" width="9.44140625" style="2" customWidth="1"/>
    <col min="4" max="4" width="8.33203125" customWidth="1"/>
    <col min="5" max="5" width="9.33203125" style="126" customWidth="1"/>
    <col min="6" max="6" width="8" customWidth="1"/>
    <col min="7" max="7" width="8.109375" style="126" customWidth="1"/>
    <col min="8" max="8" width="8.109375" customWidth="1"/>
    <col min="9" max="9" width="8.77734375" style="126" customWidth="1"/>
    <col min="10" max="10" width="10.5546875" style="10" customWidth="1"/>
    <col min="11" max="11" width="12.109375" style="10" customWidth="1"/>
  </cols>
  <sheetData>
    <row r="3" spans="2:11" ht="39" customHeight="1" x14ac:dyDescent="0.3">
      <c r="B3" s="146" t="s">
        <v>115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2:11" ht="34.200000000000003" customHeight="1" x14ac:dyDescent="0.3">
      <c r="B4" s="148" t="s">
        <v>8</v>
      </c>
      <c r="C4" s="148" t="s">
        <v>7</v>
      </c>
      <c r="D4" s="148" t="s">
        <v>4</v>
      </c>
      <c r="E4" s="148"/>
      <c r="F4" s="148" t="s">
        <v>5</v>
      </c>
      <c r="G4" s="148"/>
      <c r="H4" s="148" t="s">
        <v>6</v>
      </c>
      <c r="I4" s="148"/>
      <c r="J4" s="149" t="s">
        <v>109</v>
      </c>
      <c r="K4" s="149"/>
    </row>
    <row r="5" spans="2:11" ht="37.200000000000003" customHeight="1" x14ac:dyDescent="0.3">
      <c r="B5" s="148"/>
      <c r="C5" s="148"/>
      <c r="D5" s="14" t="s">
        <v>9</v>
      </c>
      <c r="E5" s="125" t="s">
        <v>10</v>
      </c>
      <c r="F5" s="14" t="s">
        <v>9</v>
      </c>
      <c r="G5" s="125" t="s">
        <v>10</v>
      </c>
      <c r="H5" s="14" t="s">
        <v>9</v>
      </c>
      <c r="I5" s="125" t="s">
        <v>10</v>
      </c>
      <c r="J5" s="14" t="s">
        <v>9</v>
      </c>
      <c r="K5" s="14" t="s">
        <v>10</v>
      </c>
    </row>
    <row r="6" spans="2:11" x14ac:dyDescent="0.3">
      <c r="B6" s="1">
        <v>1</v>
      </c>
      <c r="C6" s="3" t="s">
        <v>0</v>
      </c>
      <c r="D6" s="1">
        <v>111.46</v>
      </c>
      <c r="E6" s="6">
        <f>D6/2.47</f>
        <v>45.125506072874487</v>
      </c>
      <c r="F6" s="1">
        <v>554.45000000000005</v>
      </c>
      <c r="G6" s="7">
        <f>F6/2.47</f>
        <v>224.47368421052633</v>
      </c>
      <c r="H6" s="1">
        <v>284.70999999999998</v>
      </c>
      <c r="I6" s="6">
        <f>H6/2.47</f>
        <v>115.26720647773277</v>
      </c>
      <c r="J6" s="4">
        <f>D6+F6+H6</f>
        <v>950.62000000000012</v>
      </c>
      <c r="K6" s="9">
        <f>E6+G6+I6</f>
        <v>384.86639676113361</v>
      </c>
    </row>
    <row r="7" spans="2:11" x14ac:dyDescent="0.3">
      <c r="B7" s="1">
        <v>2</v>
      </c>
      <c r="C7" s="3" t="s">
        <v>1</v>
      </c>
      <c r="D7" s="1">
        <v>58.29</v>
      </c>
      <c r="E7" s="6">
        <f t="shared" ref="E7:E9" si="0">D7/2.47</f>
        <v>23.599190283400809</v>
      </c>
      <c r="F7" s="1">
        <v>390.55</v>
      </c>
      <c r="G7" s="7">
        <f t="shared" ref="G7:G9" si="1">F7/2.47</f>
        <v>158.11740890688259</v>
      </c>
      <c r="H7" s="1">
        <v>66.83</v>
      </c>
      <c r="I7" s="6">
        <f t="shared" ref="I7:I9" si="2">H7/2.47</f>
        <v>27.056680161943316</v>
      </c>
      <c r="J7" s="4">
        <f t="shared" ref="J7:J9" si="3">D7+F7+H7</f>
        <v>515.67000000000007</v>
      </c>
      <c r="K7" s="9">
        <f t="shared" ref="K7:K9" si="4">E7+G7+I7</f>
        <v>208.77327935222672</v>
      </c>
    </row>
    <row r="8" spans="2:11" x14ac:dyDescent="0.3">
      <c r="B8" s="1">
        <v>3</v>
      </c>
      <c r="C8" s="3" t="s">
        <v>2</v>
      </c>
      <c r="D8" s="1">
        <v>138.86000000000001</v>
      </c>
      <c r="E8" s="6">
        <f t="shared" si="0"/>
        <v>56.218623481781378</v>
      </c>
      <c r="F8" s="1">
        <v>123.96</v>
      </c>
      <c r="G8" s="7">
        <f t="shared" si="1"/>
        <v>50.186234817813755</v>
      </c>
      <c r="H8" s="1">
        <v>72.33</v>
      </c>
      <c r="I8" s="6">
        <f t="shared" si="2"/>
        <v>29.283400809716596</v>
      </c>
      <c r="J8" s="4">
        <f t="shared" si="3"/>
        <v>335.15</v>
      </c>
      <c r="K8" s="9">
        <f t="shared" si="4"/>
        <v>135.68825910931173</v>
      </c>
    </row>
    <row r="9" spans="2:11" x14ac:dyDescent="0.3">
      <c r="B9" s="1">
        <v>4</v>
      </c>
      <c r="C9" s="3" t="s">
        <v>3</v>
      </c>
      <c r="D9" s="1">
        <v>125.43</v>
      </c>
      <c r="E9" s="6">
        <f t="shared" si="0"/>
        <v>50.781376518218622</v>
      </c>
      <c r="F9" s="1">
        <v>117.04</v>
      </c>
      <c r="G9" s="7">
        <f t="shared" si="1"/>
        <v>47.384615384615387</v>
      </c>
      <c r="H9" s="1">
        <v>88.83</v>
      </c>
      <c r="I9" s="6">
        <f t="shared" si="2"/>
        <v>35.963562753036435</v>
      </c>
      <c r="J9" s="4">
        <f t="shared" si="3"/>
        <v>331.3</v>
      </c>
      <c r="K9" s="9">
        <f t="shared" si="4"/>
        <v>134.12955465587044</v>
      </c>
    </row>
    <row r="10" spans="2:11" x14ac:dyDescent="0.3">
      <c r="B10" s="5"/>
      <c r="C10" s="11"/>
      <c r="D10" s="4">
        <f>SUM(D6:D9)</f>
        <v>434.04</v>
      </c>
      <c r="E10" s="9">
        <f t="shared" ref="E10:I10" si="5">SUM(E6:E9)</f>
        <v>175.7246963562753</v>
      </c>
      <c r="F10" s="8">
        <f t="shared" si="5"/>
        <v>1186</v>
      </c>
      <c r="G10" s="9">
        <f t="shared" si="5"/>
        <v>480.16194331983809</v>
      </c>
      <c r="H10" s="4">
        <f t="shared" si="5"/>
        <v>512.69999999999993</v>
      </c>
      <c r="I10" s="9">
        <f t="shared" si="5"/>
        <v>207.57085020242911</v>
      </c>
      <c r="J10" s="12">
        <f>SUM(J6:J9)</f>
        <v>2132.7400000000002</v>
      </c>
      <c r="K10" s="13">
        <f>SUM(K6:K9)</f>
        <v>863.45748987854245</v>
      </c>
    </row>
    <row r="11" spans="2:11" x14ac:dyDescent="0.3">
      <c r="B11" s="156" t="s">
        <v>107</v>
      </c>
      <c r="C11" s="156"/>
      <c r="D11" s="156"/>
      <c r="E11" s="156"/>
      <c r="F11" s="156"/>
      <c r="G11" s="156"/>
      <c r="H11" s="156"/>
      <c r="I11" s="156"/>
      <c r="J11" s="156"/>
      <c r="K11" s="156"/>
    </row>
    <row r="17" customFormat="1" x14ac:dyDescent="0.3"/>
    <row r="18" customFormat="1" x14ac:dyDescent="0.3"/>
    <row r="20" customFormat="1" x14ac:dyDescent="0.3"/>
  </sheetData>
  <mergeCells count="8">
    <mergeCell ref="B3:K3"/>
    <mergeCell ref="B11:K11"/>
    <mergeCell ref="B4:B5"/>
    <mergeCell ref="J4:K4"/>
    <mergeCell ref="D4:E4"/>
    <mergeCell ref="F4:G4"/>
    <mergeCell ref="H4:I4"/>
    <mergeCell ref="C4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2"/>
  <sheetViews>
    <sheetView workbookViewId="0">
      <selection activeCell="A4" sqref="A4"/>
    </sheetView>
  </sheetViews>
  <sheetFormatPr defaultRowHeight="14.4" x14ac:dyDescent="0.3"/>
  <cols>
    <col min="2" max="2" width="7.21875" customWidth="1"/>
    <col min="3" max="3" width="9.44140625" style="2" customWidth="1"/>
    <col min="4" max="4" width="10.21875" style="2" customWidth="1"/>
    <col min="5" max="7" width="12.88671875" style="2" customWidth="1"/>
    <col min="8" max="8" width="8" customWidth="1"/>
    <col min="9" max="9" width="8.109375" customWidth="1"/>
    <col min="10" max="10" width="6.88671875" customWidth="1"/>
    <col min="11" max="11" width="8.88671875" style="122" customWidth="1"/>
    <col min="12" max="12" width="8.21875" style="122" customWidth="1"/>
    <col min="13" max="13" width="12.6640625" style="122" customWidth="1"/>
    <col min="14" max="14" width="11.77734375" style="119" customWidth="1"/>
    <col min="15" max="15" width="21.5546875" style="122" customWidth="1"/>
    <col min="16" max="16" width="18.21875" style="115" customWidth="1"/>
    <col min="17" max="17" width="17.88671875" bestFit="1" customWidth="1"/>
    <col min="18" max="18" width="17.88671875" customWidth="1"/>
    <col min="19" max="20" width="17.88671875" bestFit="1" customWidth="1"/>
    <col min="21" max="21" width="16.6640625" customWidth="1"/>
  </cols>
  <sheetData>
    <row r="3" spans="2:21" ht="39" customHeight="1" x14ac:dyDescent="0.3">
      <c r="B3" s="5"/>
      <c r="C3" s="11"/>
      <c r="D3" s="11"/>
      <c r="E3" s="11"/>
      <c r="F3" s="132"/>
      <c r="G3" s="132"/>
      <c r="H3" s="152" t="s">
        <v>14</v>
      </c>
      <c r="I3" s="153"/>
      <c r="J3" s="152" t="s">
        <v>14</v>
      </c>
      <c r="K3" s="153"/>
      <c r="L3" s="16"/>
      <c r="M3" s="16"/>
      <c r="N3" s="117"/>
      <c r="O3" s="15"/>
    </row>
    <row r="4" spans="2:21" ht="34.200000000000003" customHeight="1" x14ac:dyDescent="0.3">
      <c r="B4" s="148" t="s">
        <v>8</v>
      </c>
      <c r="C4" s="148" t="s">
        <v>7</v>
      </c>
      <c r="D4" s="148" t="s">
        <v>11</v>
      </c>
      <c r="E4" s="148" t="s">
        <v>12</v>
      </c>
      <c r="F4" s="128"/>
      <c r="G4" s="128"/>
      <c r="H4" s="148" t="s">
        <v>5</v>
      </c>
      <c r="I4" s="148"/>
      <c r="J4" s="148" t="s">
        <v>6</v>
      </c>
      <c r="K4" s="148"/>
      <c r="L4" s="149" t="s">
        <v>13</v>
      </c>
      <c r="M4" s="149"/>
      <c r="N4" s="121" t="s">
        <v>103</v>
      </c>
      <c r="O4" s="148" t="s">
        <v>15</v>
      </c>
      <c r="P4" s="150" t="s">
        <v>105</v>
      </c>
      <c r="Q4" s="151" t="s">
        <v>106</v>
      </c>
      <c r="R4" s="122"/>
    </row>
    <row r="5" spans="2:21" ht="24.6" customHeight="1" x14ac:dyDescent="0.3">
      <c r="B5" s="148"/>
      <c r="C5" s="148"/>
      <c r="D5" s="148"/>
      <c r="E5" s="148"/>
      <c r="F5" s="128"/>
      <c r="G5" s="128"/>
      <c r="H5" s="121" t="s">
        <v>9</v>
      </c>
      <c r="I5" s="121" t="s">
        <v>10</v>
      </c>
      <c r="J5" s="121" t="s">
        <v>9</v>
      </c>
      <c r="K5" s="121" t="s">
        <v>10</v>
      </c>
      <c r="L5" s="121" t="s">
        <v>9</v>
      </c>
      <c r="M5" s="121" t="s">
        <v>10</v>
      </c>
      <c r="N5" s="121" t="s">
        <v>104</v>
      </c>
      <c r="O5" s="148"/>
      <c r="P5" s="150"/>
      <c r="Q5" s="151"/>
      <c r="R5" s="122"/>
    </row>
    <row r="6" spans="2:21" x14ac:dyDescent="0.3">
      <c r="B6" s="1">
        <v>1</v>
      </c>
      <c r="C6" s="3" t="s">
        <v>0</v>
      </c>
      <c r="D6" s="3"/>
      <c r="F6" s="1">
        <v>111.46</v>
      </c>
      <c r="G6" s="6">
        <f>F6/2.47</f>
        <v>45.125506072874487</v>
      </c>
      <c r="H6" s="1">
        <v>554.45000000000005</v>
      </c>
      <c r="I6" s="7">
        <f>H6/2.47</f>
        <v>224.47368421052633</v>
      </c>
      <c r="J6" s="1">
        <v>284.70999999999998</v>
      </c>
      <c r="K6" s="6">
        <f>J6/2.47</f>
        <v>115.26720647773277</v>
      </c>
      <c r="L6" s="4">
        <f>F6+H6+J6</f>
        <v>950.62000000000012</v>
      </c>
      <c r="M6" s="123">
        <f>G6+I6+K6</f>
        <v>384.86639676113361</v>
      </c>
      <c r="N6" s="1">
        <v>482.39499999999998</v>
      </c>
      <c r="O6" s="115">
        <v>3100000</v>
      </c>
      <c r="P6" s="115">
        <f>O6*M6</f>
        <v>1193085829.9595141</v>
      </c>
      <c r="Q6" s="116">
        <f>P6</f>
        <v>1193085829.9595141</v>
      </c>
      <c r="R6" s="116">
        <f>Q6/L6</f>
        <v>1255060.728744939</v>
      </c>
      <c r="S6" s="116">
        <f>P6+Q6</f>
        <v>2386171659.9190283</v>
      </c>
      <c r="T6" s="116">
        <f>S6</f>
        <v>2386171659.9190283</v>
      </c>
      <c r="U6" s="116">
        <f>T6/L6</f>
        <v>2510121.4574898779</v>
      </c>
    </row>
    <row r="7" spans="2:21" x14ac:dyDescent="0.3">
      <c r="B7" s="1">
        <v>2</v>
      </c>
      <c r="C7" s="3" t="s">
        <v>1</v>
      </c>
      <c r="D7" s="3"/>
      <c r="F7" s="1">
        <v>58.29</v>
      </c>
      <c r="G7" s="6">
        <f t="shared" ref="G7:G9" si="0">F7/2.47</f>
        <v>23.599190283400809</v>
      </c>
      <c r="H7" s="1">
        <v>390.55</v>
      </c>
      <c r="I7" s="7">
        <f t="shared" ref="I7:I9" si="1">H7/2.47</f>
        <v>158.11740890688259</v>
      </c>
      <c r="J7" s="1">
        <v>66.83</v>
      </c>
      <c r="K7" s="6">
        <f t="shared" ref="K7:K9" si="2">J7/2.47</f>
        <v>27.056680161943316</v>
      </c>
      <c r="L7" s="4">
        <f t="shared" ref="L7:L9" si="3">F7+H7+J7</f>
        <v>515.67000000000007</v>
      </c>
      <c r="M7" s="123">
        <f t="shared" ref="M7:M9" si="4">G7+I7+K7</f>
        <v>208.77327935222672</v>
      </c>
      <c r="N7" s="1">
        <v>347.46</v>
      </c>
      <c r="O7" s="115">
        <v>3000000</v>
      </c>
      <c r="P7" s="115">
        <f t="shared" ref="P7:P9" si="5">O7*M7</f>
        <v>626319838.0566802</v>
      </c>
      <c r="Q7" s="116">
        <f t="shared" ref="Q7:Q9" si="6">P7</f>
        <v>626319838.0566802</v>
      </c>
      <c r="R7" s="116">
        <f t="shared" ref="R7:R9" si="7">Q7/L7</f>
        <v>1214574.8987854251</v>
      </c>
      <c r="S7" s="116">
        <f t="shared" ref="S7:S9" si="8">P7+Q7</f>
        <v>1252639676.1133604</v>
      </c>
      <c r="T7" s="116">
        <f t="shared" ref="T7:T9" si="9">S7</f>
        <v>1252639676.1133604</v>
      </c>
      <c r="U7" s="116">
        <f t="shared" ref="U7:U9" si="10">T7/L7</f>
        <v>2429149.7975708502</v>
      </c>
    </row>
    <row r="8" spans="2:21" x14ac:dyDescent="0.3">
      <c r="B8" s="1">
        <v>3</v>
      </c>
      <c r="C8" s="3" t="s">
        <v>2</v>
      </c>
      <c r="D8" s="3"/>
      <c r="F8" s="1">
        <v>138.86000000000001</v>
      </c>
      <c r="G8" s="6">
        <f t="shared" si="0"/>
        <v>56.218623481781378</v>
      </c>
      <c r="H8" s="1">
        <v>123.96</v>
      </c>
      <c r="I8" s="7">
        <f t="shared" si="1"/>
        <v>50.186234817813755</v>
      </c>
      <c r="J8" s="1">
        <v>72.33</v>
      </c>
      <c r="K8" s="6">
        <f t="shared" si="2"/>
        <v>29.283400809716596</v>
      </c>
      <c r="L8" s="4">
        <f t="shared" si="3"/>
        <v>335.15</v>
      </c>
      <c r="M8" s="123">
        <f t="shared" si="4"/>
        <v>135.68825910931173</v>
      </c>
      <c r="N8" s="1">
        <v>85.88</v>
      </c>
      <c r="O8" s="115">
        <v>1790000</v>
      </c>
      <c r="P8" s="115">
        <f t="shared" si="5"/>
        <v>242881983.805668</v>
      </c>
      <c r="Q8" s="116">
        <f t="shared" si="6"/>
        <v>242881983.805668</v>
      </c>
      <c r="R8" s="116">
        <f t="shared" si="7"/>
        <v>724696.35627530364</v>
      </c>
      <c r="S8" s="116">
        <f t="shared" si="8"/>
        <v>485763967.61133599</v>
      </c>
      <c r="T8" s="116">
        <f t="shared" si="9"/>
        <v>485763967.61133599</v>
      </c>
      <c r="U8" s="116">
        <f t="shared" si="10"/>
        <v>1449392.7125506073</v>
      </c>
    </row>
    <row r="9" spans="2:21" x14ac:dyDescent="0.3">
      <c r="B9" s="1">
        <v>4</v>
      </c>
      <c r="C9" s="3" t="s">
        <v>3</v>
      </c>
      <c r="D9" s="3"/>
      <c r="F9" s="1">
        <v>125.43</v>
      </c>
      <c r="G9" s="6">
        <f t="shared" si="0"/>
        <v>50.781376518218622</v>
      </c>
      <c r="H9" s="1">
        <v>117.04</v>
      </c>
      <c r="I9" s="7">
        <f t="shared" si="1"/>
        <v>47.384615384615387</v>
      </c>
      <c r="J9" s="1">
        <v>88.83</v>
      </c>
      <c r="K9" s="6">
        <f t="shared" si="2"/>
        <v>35.963562753036435</v>
      </c>
      <c r="L9" s="4">
        <f t="shared" si="3"/>
        <v>331.3</v>
      </c>
      <c r="M9" s="123">
        <f t="shared" si="4"/>
        <v>134.12955465587044</v>
      </c>
      <c r="N9" s="1">
        <v>78.760000000000005</v>
      </c>
      <c r="O9" s="115">
        <v>2140000</v>
      </c>
      <c r="P9" s="115">
        <f t="shared" si="5"/>
        <v>287037246.96356273</v>
      </c>
      <c r="Q9" s="116">
        <f t="shared" si="6"/>
        <v>287037246.96356273</v>
      </c>
      <c r="R9" s="116">
        <f t="shared" si="7"/>
        <v>866396.76113360317</v>
      </c>
      <c r="S9" s="116">
        <f t="shared" si="8"/>
        <v>574074493.92712545</v>
      </c>
      <c r="T9" s="116">
        <f t="shared" si="9"/>
        <v>574074493.92712545</v>
      </c>
      <c r="U9" s="116">
        <f t="shared" si="10"/>
        <v>1732793.5222672063</v>
      </c>
    </row>
    <row r="10" spans="2:21" x14ac:dyDescent="0.3">
      <c r="B10" s="5"/>
      <c r="C10" s="11"/>
      <c r="D10" s="11"/>
      <c r="E10" s="11"/>
      <c r="F10" s="11"/>
      <c r="G10" s="11"/>
      <c r="H10" s="8">
        <f t="shared" ref="H10:K10" si="11">SUM(H6:H9)</f>
        <v>1186</v>
      </c>
      <c r="I10" s="5">
        <f t="shared" si="11"/>
        <v>480.16194331983809</v>
      </c>
      <c r="J10" s="5">
        <f t="shared" si="11"/>
        <v>512.69999999999993</v>
      </c>
      <c r="K10" s="9">
        <f t="shared" si="11"/>
        <v>207.57085020242911</v>
      </c>
      <c r="L10" s="12">
        <f>SUM(L6:L9)</f>
        <v>2132.7400000000002</v>
      </c>
      <c r="M10" s="13">
        <f>SUM(M6:M9)</f>
        <v>863.45748987854245</v>
      </c>
      <c r="N10" s="118">
        <f>SUM(N6:N9)</f>
        <v>994.495</v>
      </c>
      <c r="O10" s="13"/>
      <c r="P10" s="120">
        <f>SUM(P6:P9)</f>
        <v>2349324898.7854252</v>
      </c>
      <c r="S10" s="116">
        <f>SUM(S6:S9)</f>
        <v>4698649797.5708504</v>
      </c>
      <c r="T10" s="124">
        <f>SUM(T6:T9)</f>
        <v>4698649797.5708504</v>
      </c>
    </row>
    <row r="12" spans="2:21" x14ac:dyDescent="0.3">
      <c r="P12" s="115">
        <f>P10/L10</f>
        <v>1101552.4155712486</v>
      </c>
      <c r="S12" s="116">
        <f>S10/L10</f>
        <v>2203104.8311424972</v>
      </c>
      <c r="T12" s="116">
        <f>T10/L10</f>
        <v>2203104.8311424972</v>
      </c>
    </row>
  </sheetData>
  <mergeCells count="12">
    <mergeCell ref="B4:B5"/>
    <mergeCell ref="C4:C5"/>
    <mergeCell ref="D4:D5"/>
    <mergeCell ref="E4:E5"/>
    <mergeCell ref="H4:I4"/>
    <mergeCell ref="L4:M4"/>
    <mergeCell ref="O4:O5"/>
    <mergeCell ref="P4:P5"/>
    <mergeCell ref="Q4:Q5"/>
    <mergeCell ref="H3:I3"/>
    <mergeCell ref="J3:K3"/>
    <mergeCell ref="J4:K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0"/>
  <sheetViews>
    <sheetView workbookViewId="0">
      <selection activeCell="K16" sqref="K16"/>
    </sheetView>
  </sheetViews>
  <sheetFormatPr defaultRowHeight="14.4" x14ac:dyDescent="0.3"/>
  <cols>
    <col min="2" max="2" width="7.21875" customWidth="1"/>
    <col min="3" max="3" width="9.44140625" style="2" customWidth="1"/>
    <col min="4" max="4" width="8.33203125" hidden="1" customWidth="1"/>
    <col min="5" max="5" width="9.33203125" style="127" hidden="1" customWidth="1"/>
    <col min="6" max="6" width="8" hidden="1" customWidth="1"/>
    <col min="7" max="7" width="8.109375" style="127" hidden="1" customWidth="1"/>
    <col min="8" max="8" width="8.109375" hidden="1" customWidth="1"/>
    <col min="9" max="9" width="8.77734375" style="127" hidden="1" customWidth="1"/>
    <col min="10" max="10" width="10.5546875" style="127" customWidth="1"/>
    <col min="11" max="11" width="12.109375" style="127" customWidth="1"/>
    <col min="12" max="12" width="19.109375" customWidth="1"/>
    <col min="13" max="13" width="21.21875" customWidth="1"/>
    <col min="14" max="14" width="26.6640625" customWidth="1"/>
    <col min="15" max="15" width="24.109375" customWidth="1"/>
    <col min="16" max="16" width="24" customWidth="1"/>
    <col min="17" max="17" width="17.88671875" bestFit="1" customWidth="1"/>
  </cols>
  <sheetData>
    <row r="3" spans="2:17" ht="39" customHeight="1" x14ac:dyDescent="0.3">
      <c r="B3" s="158" t="s">
        <v>108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2:17" ht="34.200000000000003" customHeight="1" x14ac:dyDescent="0.3">
      <c r="B4" s="148" t="s">
        <v>8</v>
      </c>
      <c r="C4" s="148" t="s">
        <v>7</v>
      </c>
      <c r="D4" s="148" t="s">
        <v>4</v>
      </c>
      <c r="E4" s="148"/>
      <c r="F4" s="148" t="s">
        <v>5</v>
      </c>
      <c r="G4" s="148"/>
      <c r="H4" s="148" t="s">
        <v>6</v>
      </c>
      <c r="I4" s="148"/>
      <c r="J4" s="149" t="s">
        <v>109</v>
      </c>
      <c r="K4" s="149"/>
      <c r="L4" s="157" t="s">
        <v>110</v>
      </c>
      <c r="M4" s="157" t="s">
        <v>111</v>
      </c>
      <c r="N4" s="157" t="s">
        <v>112</v>
      </c>
      <c r="O4" s="157" t="s">
        <v>113</v>
      </c>
      <c r="P4" s="157" t="s">
        <v>114</v>
      </c>
    </row>
    <row r="5" spans="2:17" ht="37.200000000000003" customHeight="1" x14ac:dyDescent="0.3">
      <c r="B5" s="148"/>
      <c r="C5" s="148"/>
      <c r="D5" s="131" t="s">
        <v>9</v>
      </c>
      <c r="E5" s="131" t="s">
        <v>10</v>
      </c>
      <c r="F5" s="131" t="s">
        <v>9</v>
      </c>
      <c r="G5" s="131" t="s">
        <v>10</v>
      </c>
      <c r="H5" s="131" t="s">
        <v>9</v>
      </c>
      <c r="I5" s="131" t="s">
        <v>10</v>
      </c>
      <c r="J5" s="131" t="s">
        <v>9</v>
      </c>
      <c r="K5" s="131" t="s">
        <v>10</v>
      </c>
      <c r="L5" s="157"/>
      <c r="M5" s="157"/>
      <c r="N5" s="157"/>
      <c r="O5" s="157"/>
      <c r="P5" s="157"/>
    </row>
    <row r="6" spans="2:17" x14ac:dyDescent="0.3">
      <c r="B6" s="1">
        <v>1</v>
      </c>
      <c r="C6" s="3" t="s">
        <v>0</v>
      </c>
      <c r="D6" s="1">
        <v>111.46</v>
      </c>
      <c r="E6" s="6">
        <f>D6/2.47</f>
        <v>45.125506072874487</v>
      </c>
      <c r="F6" s="1">
        <v>554.45000000000005</v>
      </c>
      <c r="G6" s="7">
        <f>F6/2.47</f>
        <v>224.47368421052633</v>
      </c>
      <c r="H6" s="1">
        <v>284.70999999999998</v>
      </c>
      <c r="I6" s="6">
        <f>H6/2.47</f>
        <v>115.26720647773277</v>
      </c>
      <c r="J6" s="4">
        <f>D6+F6+H6</f>
        <v>950.62000000000012</v>
      </c>
      <c r="K6" s="9">
        <f>E6+G6+I6</f>
        <v>384.86639676113361</v>
      </c>
      <c r="L6" s="129">
        <v>2100000</v>
      </c>
      <c r="M6" s="129">
        <f>L6*J6</f>
        <v>1996302000.0000002</v>
      </c>
      <c r="N6" s="129">
        <f>M6*0.05</f>
        <v>99815100.000000015</v>
      </c>
      <c r="O6" s="154">
        <v>200000000</v>
      </c>
      <c r="P6" s="155">
        <f>M10+N10+O6</f>
        <v>4341514475</v>
      </c>
      <c r="Q6" s="116"/>
    </row>
    <row r="7" spans="2:17" x14ac:dyDescent="0.3">
      <c r="B7" s="1">
        <v>2</v>
      </c>
      <c r="C7" s="3" t="s">
        <v>1</v>
      </c>
      <c r="D7" s="1">
        <v>58.29</v>
      </c>
      <c r="E7" s="6">
        <f t="shared" ref="E7:E9" si="0">D7/2.47</f>
        <v>23.599190283400809</v>
      </c>
      <c r="F7" s="1">
        <v>390.55</v>
      </c>
      <c r="G7" s="7">
        <f t="shared" ref="G7:G9" si="1">F7/2.47</f>
        <v>158.11740890688259</v>
      </c>
      <c r="H7" s="1">
        <v>66.83</v>
      </c>
      <c r="I7" s="6">
        <f t="shared" ref="I7:I9" si="2">H7/2.47</f>
        <v>27.056680161943316</v>
      </c>
      <c r="J7" s="4">
        <f t="shared" ref="J7:K9" si="3">D7+F7+H7</f>
        <v>515.67000000000007</v>
      </c>
      <c r="K7" s="9">
        <f t="shared" si="3"/>
        <v>208.77327935222672</v>
      </c>
      <c r="L7" s="129">
        <v>2000000</v>
      </c>
      <c r="M7" s="129">
        <f>L7*J7</f>
        <v>1031340000.0000001</v>
      </c>
      <c r="N7" s="129">
        <f t="shared" ref="N7:N9" si="4">M7*0.05</f>
        <v>51567000.000000007</v>
      </c>
      <c r="O7" s="154"/>
      <c r="P7" s="155"/>
      <c r="Q7" s="116"/>
    </row>
    <row r="8" spans="2:17" x14ac:dyDescent="0.3">
      <c r="B8" s="1">
        <v>3</v>
      </c>
      <c r="C8" s="3" t="s">
        <v>2</v>
      </c>
      <c r="D8" s="1">
        <v>138.86000000000001</v>
      </c>
      <c r="E8" s="6">
        <f t="shared" si="0"/>
        <v>56.218623481781378</v>
      </c>
      <c r="F8" s="1">
        <v>123.96</v>
      </c>
      <c r="G8" s="7">
        <f t="shared" si="1"/>
        <v>50.186234817813755</v>
      </c>
      <c r="H8" s="1">
        <v>72.33</v>
      </c>
      <c r="I8" s="6">
        <f t="shared" si="2"/>
        <v>29.283400809716596</v>
      </c>
      <c r="J8" s="4">
        <f t="shared" si="3"/>
        <v>335.15</v>
      </c>
      <c r="K8" s="9">
        <f t="shared" si="3"/>
        <v>135.68825910931173</v>
      </c>
      <c r="L8" s="129">
        <v>1450000</v>
      </c>
      <c r="M8" s="129">
        <f>L8*J8</f>
        <v>485967499.99999994</v>
      </c>
      <c r="N8" s="129">
        <f t="shared" si="4"/>
        <v>24298375</v>
      </c>
      <c r="O8" s="154"/>
      <c r="P8" s="155"/>
      <c r="Q8" s="116"/>
    </row>
    <row r="9" spans="2:17" x14ac:dyDescent="0.3">
      <c r="B9" s="1">
        <v>4</v>
      </c>
      <c r="C9" s="3" t="s">
        <v>3</v>
      </c>
      <c r="D9" s="1">
        <v>125.43</v>
      </c>
      <c r="E9" s="6">
        <f t="shared" si="0"/>
        <v>50.781376518218622</v>
      </c>
      <c r="F9" s="1">
        <v>117.04</v>
      </c>
      <c r="G9" s="7">
        <f t="shared" si="1"/>
        <v>47.384615384615387</v>
      </c>
      <c r="H9" s="1">
        <v>88.83</v>
      </c>
      <c r="I9" s="6">
        <f t="shared" si="2"/>
        <v>35.963562753036435</v>
      </c>
      <c r="J9" s="4">
        <f t="shared" si="3"/>
        <v>331.3</v>
      </c>
      <c r="K9" s="9">
        <f t="shared" si="3"/>
        <v>134.12955465587044</v>
      </c>
      <c r="L9" s="129">
        <v>1300000</v>
      </c>
      <c r="M9" s="129">
        <f>L9*J9</f>
        <v>430690000</v>
      </c>
      <c r="N9" s="129">
        <f t="shared" si="4"/>
        <v>21534500</v>
      </c>
      <c r="O9" s="154"/>
      <c r="P9" s="155"/>
      <c r="Q9" s="116"/>
    </row>
    <row r="10" spans="2:17" x14ac:dyDescent="0.3">
      <c r="B10" s="5"/>
      <c r="C10" s="11"/>
      <c r="D10" s="4">
        <f>SUM(D6:D9)</f>
        <v>434.04</v>
      </c>
      <c r="E10" s="9">
        <f t="shared" ref="E10:I10" si="5">SUM(E6:E9)</f>
        <v>175.7246963562753</v>
      </c>
      <c r="F10" s="8">
        <f t="shared" si="5"/>
        <v>1186</v>
      </c>
      <c r="G10" s="9">
        <f t="shared" si="5"/>
        <v>480.16194331983809</v>
      </c>
      <c r="H10" s="4">
        <f t="shared" si="5"/>
        <v>512.69999999999993</v>
      </c>
      <c r="I10" s="9">
        <f t="shared" si="5"/>
        <v>207.57085020242911</v>
      </c>
      <c r="J10" s="12">
        <f>SUM(J6:J9)</f>
        <v>2132.7400000000002</v>
      </c>
      <c r="K10" s="13">
        <f>SUM(K6:K9)</f>
        <v>863.45748987854245</v>
      </c>
      <c r="L10" s="129"/>
      <c r="M10" s="130">
        <f>SUM(M6:M9)</f>
        <v>3944299500.0000005</v>
      </c>
      <c r="N10" s="130">
        <f>SUM(N6:N9)</f>
        <v>197214975.00000003</v>
      </c>
      <c r="O10" s="129"/>
      <c r="P10" s="130">
        <f>P6</f>
        <v>4341514475</v>
      </c>
      <c r="Q10" s="116"/>
    </row>
    <row r="11" spans="2:17" x14ac:dyDescent="0.3">
      <c r="B11" s="156" t="s">
        <v>107</v>
      </c>
      <c r="C11" s="156"/>
      <c r="D11" s="156"/>
      <c r="E11" s="156"/>
      <c r="F11" s="156"/>
      <c r="G11" s="156"/>
      <c r="H11" s="156"/>
      <c r="I11" s="156"/>
      <c r="J11" s="156"/>
      <c r="K11" s="156"/>
      <c r="L11" s="5"/>
      <c r="M11" s="5"/>
      <c r="N11" s="5"/>
      <c r="O11" s="5"/>
      <c r="P11" s="5"/>
    </row>
    <row r="12" spans="2:17" x14ac:dyDescent="0.3">
      <c r="L12" s="116"/>
      <c r="N12" s="116"/>
      <c r="O12" s="116"/>
      <c r="Q12" s="116"/>
    </row>
    <row r="17" spans="3:11" x14ac:dyDescent="0.3">
      <c r="C17"/>
      <c r="E17"/>
      <c r="G17"/>
      <c r="I17"/>
      <c r="J17"/>
      <c r="K17"/>
    </row>
    <row r="18" spans="3:11" x14ac:dyDescent="0.3">
      <c r="C18"/>
      <c r="E18"/>
      <c r="G18"/>
      <c r="I18"/>
      <c r="J18"/>
      <c r="K18"/>
    </row>
    <row r="20" spans="3:11" x14ac:dyDescent="0.3">
      <c r="C20"/>
      <c r="E20"/>
      <c r="G20"/>
      <c r="I20"/>
      <c r="J20"/>
      <c r="K20"/>
    </row>
  </sheetData>
  <mergeCells count="15">
    <mergeCell ref="B3:P3"/>
    <mergeCell ref="L4:L5"/>
    <mergeCell ref="P4:P5"/>
    <mergeCell ref="B4:B5"/>
    <mergeCell ref="C4:C5"/>
    <mergeCell ref="D4:E4"/>
    <mergeCell ref="F4:G4"/>
    <mergeCell ref="H4:I4"/>
    <mergeCell ref="O6:O9"/>
    <mergeCell ref="P6:P9"/>
    <mergeCell ref="B11:K11"/>
    <mergeCell ref="M4:M5"/>
    <mergeCell ref="N4:N5"/>
    <mergeCell ref="O4:O5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Land Area</vt:lpstr>
      <vt:lpstr>As per Land Acquisition</vt:lpstr>
      <vt:lpstr>Final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2018-05-29T05:01:18Z</dcterms:created>
  <dcterms:modified xsi:type="dcterms:W3CDTF">2018-07-08T15:49:22Z</dcterms:modified>
</cp:coreProperties>
</file>