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run Tomar\VIS(2022-23)-PL256-194-357 - Ms Madhur print N Pack - Selaqui Dehradun\"/>
    </mc:Choice>
  </mc:AlternateContent>
  <bookViews>
    <workbookView showVerticalScroll="0" xWindow="0" yWindow="0" windowWidth="9390" windowHeight="2715"/>
  </bookViews>
  <sheets>
    <sheet name="Land" sheetId="2" r:id="rId1"/>
    <sheet name="Building" sheetId="1" r:id="rId2"/>
    <sheet name="Details from other Documents" sheetId="3" r:id="rId3"/>
  </sheets>
  <definedNames>
    <definedName name="_xlnm.Print_Area" localSheetId="1">Building!$C$1:$W$11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6" i="1" l="1"/>
  <c r="G25" i="1"/>
  <c r="L7" i="2" l="1"/>
  <c r="Q6" i="1" l="1"/>
  <c r="N6" i="1"/>
  <c r="G5" i="1"/>
  <c r="H9" i="2" s="1"/>
  <c r="K6" i="1"/>
  <c r="S6" i="1" s="1"/>
  <c r="G4" i="1"/>
  <c r="G7" i="1" l="1"/>
  <c r="H8" i="2"/>
  <c r="T6" i="1"/>
  <c r="U6" i="1" s="1"/>
  <c r="W6" i="1" s="1"/>
  <c r="D12" i="2" l="1"/>
  <c r="D11" i="2"/>
  <c r="D4" i="2"/>
  <c r="H11" i="2"/>
  <c r="H10" i="2"/>
  <c r="L8" i="2" s="1"/>
  <c r="I14" i="1" l="1"/>
  <c r="G16" i="1"/>
  <c r="G15" i="1"/>
  <c r="G17" i="1" l="1"/>
  <c r="G19" i="1" s="1"/>
  <c r="G20" i="1" s="1"/>
  <c r="G23" i="1"/>
  <c r="K5" i="1"/>
  <c r="S5" i="1" s="1"/>
  <c r="K4" i="1"/>
  <c r="Q5" i="1"/>
  <c r="N5" i="1"/>
  <c r="Q4" i="1"/>
  <c r="N4" i="1"/>
  <c r="S4" i="1" l="1"/>
  <c r="S7" i="1" s="1"/>
  <c r="K7" i="1"/>
  <c r="G18" i="1"/>
  <c r="G21" i="1"/>
  <c r="T5" i="1"/>
  <c r="U5" i="1" s="1"/>
  <c r="W5" i="1" s="1"/>
  <c r="T4" i="1"/>
  <c r="U4" i="1" s="1"/>
  <c r="B9" i="2"/>
  <c r="W4" i="1" l="1"/>
  <c r="W7" i="1" s="1"/>
  <c r="U7" i="1"/>
  <c r="G22" i="1"/>
  <c r="G24" i="1" s="1"/>
  <c r="J17" i="1"/>
  <c r="J16" i="1"/>
  <c r="L9" i="2"/>
  <c r="C9" i="2" l="1"/>
  <c r="D9" i="2" l="1"/>
  <c r="M13" i="2" s="1"/>
</calcChain>
</file>

<file path=xl/sharedStrings.xml><?xml version="1.0" encoding="utf-8"?>
<sst xmlns="http://schemas.openxmlformats.org/spreadsheetml/2006/main" count="106" uniqueCount="91">
  <si>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</si>
  <si>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</si>
  <si>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</si>
  <si>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</si>
  <si>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</si>
  <si>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</si>
  <si>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</si>
  <si>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</si>
  <si>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</si>
  <si>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</si>
  <si>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</si>
  <si>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</si>
  <si>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</si>
  <si>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Height </t>
    </r>
    <r>
      <rPr>
        <b/>
        <i/>
        <sz val="10"/>
        <rFont val="Calibri"/>
        <family val="2"/>
        <scheme val="minor"/>
      </rPr>
      <t>(in ft.)</t>
    </r>
  </si>
  <si>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</si>
  <si>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</si>
  <si>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Area 
</t>
    </r>
    <r>
      <rPr>
        <b/>
        <i/>
        <sz val="10"/>
        <rFont val="Calibri"/>
        <family val="2"/>
        <scheme val="minor"/>
      </rPr>
      <t>(in sq.ft)</t>
    </r>
  </si>
  <si>
    <t>Remarks:</t>
  </si>
  <si>
    <t>Ground Floor</t>
  </si>
  <si>
    <r>
      <t>3.</t>
    </r>
    <r>
      <rPr>
        <i/>
        <sz val="10"/>
        <color theme="1"/>
        <rFont val="Calibri"/>
        <family val="2"/>
        <scheme val="minor"/>
      </rPr>
      <t xml:space="preserve"> The valuation is done by considering the depreciated replacement cost approach.</t>
    </r>
  </si>
  <si>
    <t>Unit</t>
  </si>
  <si>
    <r>
      <t xml:space="preserve">1. </t>
    </r>
    <r>
      <rPr>
        <b/>
        <i/>
        <sz val="10"/>
        <color theme="1"/>
        <rFont val="Calibri"/>
        <family val="2"/>
        <scheme val="minor"/>
      </rPr>
      <t>All the details pertaing to the building area statement such as area, floor, etc has been taken from sample measurement taken during site survey since no other relevant building area statement has been provided to us by the bank or client.</t>
    </r>
  </si>
  <si>
    <t>LAND VALUATION</t>
  </si>
  <si>
    <t>Area in
(Sqm)</t>
  </si>
  <si>
    <t>LAND + BUILDING</t>
  </si>
  <si>
    <t xml:space="preserve">Land </t>
  </si>
  <si>
    <t>Building</t>
  </si>
  <si>
    <t>Total</t>
  </si>
  <si>
    <t>FMV</t>
  </si>
  <si>
    <t>Land Circle Rate</t>
  </si>
  <si>
    <t>per sqm for land</t>
  </si>
  <si>
    <t>RV @ 15% Less</t>
  </si>
  <si>
    <t>Building Circle Rate</t>
  </si>
  <si>
    <t>per sqm for building</t>
  </si>
  <si>
    <t>DV @ 25% Less</t>
  </si>
  <si>
    <t>Land Circle Value</t>
  </si>
  <si>
    <t>Building Circle Value</t>
  </si>
  <si>
    <r>
      <rPr>
        <b/>
        <sz val="14"/>
        <color theme="1"/>
        <rFont val="Arial"/>
        <family val="2"/>
      </rPr>
      <t>% difference</t>
    </r>
    <r>
      <rPr>
        <b/>
        <sz val="11"/>
        <color theme="1"/>
        <rFont val="Arial"/>
        <family val="2"/>
      </rPr>
      <t xml:space="preserve"> </t>
    </r>
    <r>
      <rPr>
        <sz val="11"/>
        <color theme="1"/>
        <rFont val="Arial"/>
        <family val="2"/>
      </rPr>
      <t>between Circle Rate and Fair Market Value</t>
    </r>
  </si>
  <si>
    <t>PL-125</t>
  </si>
  <si>
    <t>RCC Structure</t>
  </si>
  <si>
    <r>
      <t xml:space="preserve">Plinth Area Rate 
</t>
    </r>
    <r>
      <rPr>
        <b/>
        <i/>
        <sz val="10"/>
        <rFont val="Calibri"/>
        <family val="2"/>
        <scheme val="minor"/>
      </rPr>
      <t>(in per sq.ft)</t>
    </r>
  </si>
  <si>
    <t>Permisiable FAR</t>
  </si>
  <si>
    <t>Permissiable Ground Coverage</t>
  </si>
  <si>
    <t>Plot Area</t>
  </si>
  <si>
    <t>Permissiable GF Construction</t>
  </si>
  <si>
    <r>
      <t xml:space="preserve">Area Considered for valuation
</t>
    </r>
    <r>
      <rPr>
        <b/>
        <i/>
        <sz val="10"/>
        <rFont val="Calibri"/>
        <family val="2"/>
        <scheme val="minor"/>
      </rPr>
      <t>(in sq.ft)</t>
    </r>
  </si>
  <si>
    <t>Permissiable FF Construction</t>
  </si>
  <si>
    <t>Remaining Permissiable FF Construction</t>
  </si>
  <si>
    <t>GF Area</t>
  </si>
  <si>
    <t>FF Area</t>
  </si>
  <si>
    <t>sq.ft.</t>
  </si>
  <si>
    <t>Sq.m.</t>
  </si>
  <si>
    <t>TOTAL Constructed</t>
  </si>
  <si>
    <t>TOTAL Permissiable Constructed</t>
  </si>
  <si>
    <t>Difference</t>
  </si>
  <si>
    <t>Particulars</t>
  </si>
  <si>
    <t>Figure</t>
  </si>
  <si>
    <t xml:space="preserve"> RCC /steel Structure over beam and column with PCC &amp; metal sheet flooring </t>
  </si>
  <si>
    <t>Permissible FAR</t>
  </si>
  <si>
    <t>Tin Shed</t>
  </si>
  <si>
    <t>RCC Area in Sqft</t>
  </si>
  <si>
    <t>RCC Area in sqm</t>
  </si>
  <si>
    <t>Shed Area in Sqft</t>
  </si>
  <si>
    <t>Shed Area in sqm</t>
  </si>
  <si>
    <t>ON SITE</t>
  </si>
  <si>
    <t>CIRCLE RATE CALCULATION</t>
  </si>
  <si>
    <t>CIRCLE RATE (In Rs.)</t>
  </si>
  <si>
    <t xml:space="preserve"> GI Shed Structure over RCC walls and column with PCC &amp; tile flooring </t>
  </si>
  <si>
    <t>Labour Room &amp; Washroom</t>
  </si>
  <si>
    <t>Land area as per deed</t>
  </si>
  <si>
    <t>Rates
(in Rs.)</t>
  </si>
  <si>
    <t>Value
(in Rs.)</t>
  </si>
  <si>
    <t>**</t>
  </si>
  <si>
    <t>To be calculated in sq.mtr. and associated unit</t>
  </si>
  <si>
    <t>BUILDING VALUATION OF M/S. M/S MADHUR PRINT AND PACK | CENTRAL HOPE TOWN, PACHWADOON</t>
  </si>
  <si>
    <r>
      <t xml:space="preserve">2. </t>
    </r>
    <r>
      <rPr>
        <i/>
        <sz val="10"/>
        <color theme="1"/>
        <rFont val="Calibri"/>
        <family val="2"/>
        <scheme val="minor"/>
      </rPr>
      <t>All the structure that has been taken in the area considered for valuation belongs to M/s. Madhur print N Pack</t>
    </r>
  </si>
  <si>
    <t>Land Area</t>
  </si>
  <si>
    <t>as per deed</t>
  </si>
  <si>
    <t>Buyer name</t>
  </si>
  <si>
    <t>Shri Gulshan Saini</t>
  </si>
  <si>
    <t>Shri Sukhbeer Singh</t>
  </si>
  <si>
    <t>560, Ward no. - 16, near Neher Colony, Pehova, Kurukshetra, Haryana</t>
  </si>
  <si>
    <t>S/o</t>
  </si>
  <si>
    <t>Circle rate at the time of purchase</t>
  </si>
  <si>
    <t>Rs/mtr.</t>
  </si>
  <si>
    <t>Sq.mtr.</t>
  </si>
  <si>
    <t>Property Address</t>
  </si>
  <si>
    <t>Khata no. 223 Khasra no. 1043, Mauza - Central Hope Town, Pargana - Pachwadoon, Tehsil - Vikasnagar, District - Dehradun, Uttarakhand.</t>
  </si>
  <si>
    <t>Deed Date</t>
  </si>
  <si>
    <t>Shed Area</t>
  </si>
  <si>
    <t>RCC Area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</si>
</sst>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 numFmtId="167"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b/>
      <i/>
      <sz val="10"/>
      <color theme="1"/>
      <name val="Calibri"/>
      <family val="2"/>
      <scheme val="minor"/>
    </font>
    <font>
      <i/>
      <sz val="10"/>
      <color theme="1"/>
      <name val="Calibri"/>
      <family val="2"/>
      <scheme val="minor"/>
    </font>
    <font>
      <b/>
      <sz val="16"/>
      <color theme="0"/>
      <name val="Calibri"/>
      <family val="2"/>
      <scheme val="minor"/>
    </font>
    <font>
      <sz val="16"/>
      <color theme="1"/>
      <name val="Calibri"/>
      <family val="2"/>
      <scheme val="minor"/>
    </font>
    <font>
      <b/>
      <sz val="16"/>
      <color theme="1"/>
      <name val="Calibri"/>
      <family val="2"/>
      <scheme val="minor"/>
    </font>
    <font>
      <sz val="11"/>
      <color theme="1"/>
      <name val="Arial"/>
      <family val="2"/>
    </font>
    <font>
      <b/>
      <sz val="11"/>
      <color theme="1"/>
      <name val="Arial"/>
      <family val="2"/>
    </font>
    <font>
      <b/>
      <sz val="14"/>
      <color theme="1"/>
      <name val="Arial"/>
      <family val="2"/>
    </font>
    <font>
      <b/>
      <sz val="11"/>
      <color theme="0"/>
      <name val="Calibri"/>
      <family val="2"/>
      <scheme val="minor"/>
    </font>
    <font>
      <b/>
      <sz val="12"/>
      <color theme="0"/>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0070C0"/>
        <bgColor indexed="64"/>
      </patternFill>
    </fill>
    <fill>
      <patternFill patternType="solid">
        <fgColor theme="4" tint="0.79998168889431442"/>
        <bgColor indexed="64"/>
      </patternFill>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12">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98">
    <xf numFmtId="0" fontId="0" fillId="0" borderId="0" xfId="0"/>
    <xf numFmtId="164" fontId="0" fillId="0" borderId="0" xfId="0" applyNumberFormat="1"/>
    <xf numFmtId="9" fontId="0" fillId="0" borderId="1" xfId="0" applyNumberFormat="1" applyBorder="1" applyAlignment="1">
      <alignment horizontal="center" vertical="center"/>
    </xf>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xf numFmtId="0" fontId="0" fillId="0" borderId="0" xfId="0" applyAlignment="1">
      <alignment wrapText="1"/>
    </xf>
    <xf numFmtId="0" fontId="0" fillId="0" borderId="0" xfId="0" applyAlignment="1">
      <alignment horizontal="center"/>
    </xf>
    <xf numFmtId="164" fontId="4" fillId="2" borderId="1" xfId="3" applyNumberFormat="1" applyFont="1" applyFill="1" applyBorder="1" applyAlignment="1">
      <alignment horizontal="center" vertical="center" wrapText="1"/>
    </xf>
    <xf numFmtId="164" fontId="0" fillId="0" borderId="0" xfId="3" applyNumberFormat="1" applyFont="1" applyAlignment="1">
      <alignment horizontal="center"/>
    </xf>
    <xf numFmtId="0" fontId="0" fillId="0" borderId="0" xfId="0"/>
    <xf numFmtId="0" fontId="11" fillId="0" borderId="1" xfId="0" applyFont="1" applyBorder="1" applyAlignment="1">
      <alignment horizontal="center" vertical="center"/>
    </xf>
    <xf numFmtId="164" fontId="11" fillId="0" borderId="1" xfId="7" applyNumberFormat="1" applyFont="1" applyBorder="1" applyAlignment="1">
      <alignment horizontal="center" vertical="center"/>
    </xf>
    <xf numFmtId="164" fontId="11" fillId="0" borderId="1" xfId="0" applyNumberFormat="1" applyFont="1" applyBorder="1"/>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164" fontId="11" fillId="0" borderId="1" xfId="7" applyNumberFormat="1" applyFont="1" applyBorder="1"/>
    <xf numFmtId="164" fontId="11" fillId="0" borderId="2" xfId="7" applyNumberFormat="1" applyFont="1" applyBorder="1" applyAlignment="1">
      <alignment horizontal="center" vertical="center"/>
    </xf>
    <xf numFmtId="0" fontId="0" fillId="0" borderId="0" xfId="0" applyAlignment="1">
      <alignment horizontal="right" vertical="center"/>
    </xf>
    <xf numFmtId="0" fontId="11" fillId="0" borderId="0" xfId="0" applyFont="1" applyBorder="1" applyAlignment="1">
      <alignment horizontal="center" vertical="center"/>
    </xf>
    <xf numFmtId="164" fontId="11" fillId="0" borderId="0" xfId="7" applyNumberFormat="1" applyFont="1" applyBorder="1" applyAlignment="1">
      <alignment horizontal="center" vertical="center"/>
    </xf>
    <xf numFmtId="43" fontId="0" fillId="0" borderId="0" xfId="0" applyNumberFormat="1"/>
    <xf numFmtId="10" fontId="14" fillId="0" borderId="1" xfId="0" applyNumberFormat="1" applyFont="1" applyBorder="1" applyAlignment="1">
      <alignment horizontal="center" vertical="center" wrapText="1"/>
    </xf>
    <xf numFmtId="164" fontId="12" fillId="0" borderId="1" xfId="7" applyNumberFormat="1" applyFont="1" applyBorder="1" applyAlignment="1">
      <alignment horizontal="right" vertical="center"/>
    </xf>
    <xf numFmtId="164" fontId="12" fillId="0" borderId="2" xfId="7" applyNumberFormat="1" applyFont="1" applyBorder="1" applyAlignment="1">
      <alignment horizontal="center" vertical="center"/>
    </xf>
    <xf numFmtId="164" fontId="11" fillId="0" borderId="1" xfId="7" applyNumberFormat="1" applyFont="1" applyBorder="1" applyAlignment="1">
      <alignment horizontal="right" vertical="center"/>
    </xf>
    <xf numFmtId="43" fontId="2" fillId="0" borderId="1" xfId="3" applyNumberFormat="1" applyFont="1" applyBorder="1" applyAlignment="1">
      <alignment horizontal="center" vertical="center"/>
    </xf>
    <xf numFmtId="43" fontId="0" fillId="0" borderId="1" xfId="3"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164" fontId="0" fillId="0" borderId="1" xfId="3" applyNumberFormat="1" applyFont="1" applyBorder="1" applyAlignment="1">
      <alignment vertical="center"/>
    </xf>
    <xf numFmtId="43" fontId="0" fillId="0" borderId="1" xfId="3" applyNumberFormat="1" applyFont="1" applyBorder="1" applyAlignment="1">
      <alignment vertical="center"/>
    </xf>
    <xf numFmtId="43" fontId="0" fillId="0" borderId="1" xfId="0" applyNumberFormat="1" applyBorder="1"/>
    <xf numFmtId="0" fontId="0" fillId="0" borderId="1" xfId="0" applyBorder="1"/>
    <xf numFmtId="9" fontId="0" fillId="0" borderId="3" xfId="3" applyNumberFormat="1" applyFont="1" applyBorder="1" applyAlignment="1">
      <alignment vertical="center"/>
    </xf>
    <xf numFmtId="0" fontId="0" fillId="0" borderId="1" xfId="0" applyBorder="1" applyAlignment="1">
      <alignment wrapText="1"/>
    </xf>
    <xf numFmtId="0" fontId="0" fillId="0" borderId="1" xfId="0" applyBorder="1" applyAlignment="1">
      <alignment vertical="center" wrapText="1"/>
    </xf>
    <xf numFmtId="43" fontId="0" fillId="0" borderId="0" xfId="0" applyNumberFormat="1" applyAlignment="1">
      <alignment horizontal="center" vertical="center"/>
    </xf>
    <xf numFmtId="164" fontId="0" fillId="0" borderId="1" xfId="3" applyNumberFormat="1" applyFont="1" applyBorder="1" applyAlignment="1">
      <alignment horizontal="center"/>
    </xf>
    <xf numFmtId="164" fontId="0" fillId="0" borderId="1" xfId="3" applyNumberFormat="1" applyFont="1" applyBorder="1" applyAlignment="1">
      <alignment horizontal="center" vertical="center"/>
    </xf>
    <xf numFmtId="0" fontId="16" fillId="3" borderId="1" xfId="0" applyFont="1" applyFill="1" applyBorder="1" applyAlignment="1">
      <alignment horizontal="center" vertical="center" wrapText="1"/>
    </xf>
    <xf numFmtId="164" fontId="16" fillId="3" borderId="1" xfId="3" applyNumberFormat="1" applyFont="1" applyFill="1" applyBorder="1" applyAlignment="1">
      <alignment horizontal="center" vertical="center"/>
    </xf>
    <xf numFmtId="0" fontId="16" fillId="3" borderId="1" xfId="0" applyFont="1" applyFill="1" applyBorder="1" applyAlignment="1">
      <alignment horizontal="center" vertical="center"/>
    </xf>
    <xf numFmtId="0" fontId="2" fillId="0" borderId="1" xfId="0" applyFont="1" applyBorder="1" applyAlignment="1">
      <alignment horizontal="center" vertical="center"/>
    </xf>
    <xf numFmtId="2" fontId="0" fillId="0" borderId="0" xfId="0" applyNumberFormat="1"/>
    <xf numFmtId="0" fontId="0" fillId="5" borderId="1" xfId="0" applyFill="1" applyBorder="1" applyAlignment="1">
      <alignment horizontal="left" vertical="center"/>
    </xf>
    <xf numFmtId="43" fontId="0" fillId="5" borderId="1" xfId="0" applyNumberFormat="1" applyFill="1" applyBorder="1" applyAlignment="1">
      <alignment horizontal="center" vertical="center" wrapText="1"/>
    </xf>
    <xf numFmtId="0" fontId="2" fillId="0" borderId="1" xfId="0" applyFont="1" applyBorder="1" applyAlignment="1">
      <alignment horizontal="center" vertical="center" wrapText="1"/>
    </xf>
    <xf numFmtId="0" fontId="11" fillId="0" borderId="1"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center" vertical="center"/>
    </xf>
    <xf numFmtId="43" fontId="0" fillId="0" borderId="1" xfId="0" applyNumberFormat="1" applyBorder="1" applyAlignment="1">
      <alignment horizontal="center" vertical="center"/>
    </xf>
    <xf numFmtId="0" fontId="12" fillId="0" borderId="1" xfId="0" applyFont="1" applyBorder="1" applyAlignment="1">
      <alignment horizontal="center" vertical="center"/>
    </xf>
    <xf numFmtId="164" fontId="12" fillId="0" borderId="1" xfId="7" applyNumberFormat="1" applyFont="1" applyBorder="1" applyAlignment="1">
      <alignment horizontal="center" vertical="center"/>
    </xf>
    <xf numFmtId="164" fontId="0" fillId="0" borderId="1" xfId="0" applyNumberFormat="1" applyBorder="1" applyAlignment="1">
      <alignment horizontal="center" vertical="center"/>
    </xf>
    <xf numFmtId="164" fontId="11" fillId="6" borderId="2" xfId="7" applyNumberFormat="1" applyFont="1" applyFill="1" applyBorder="1" applyAlignment="1">
      <alignment horizontal="center" vertical="center"/>
    </xf>
    <xf numFmtId="164" fontId="2" fillId="6" borderId="1" xfId="7" applyNumberFormat="1" applyFont="1" applyFill="1" applyBorder="1" applyAlignment="1">
      <alignment horizontal="center" vertical="center"/>
    </xf>
    <xf numFmtId="164" fontId="11" fillId="0" borderId="1" xfId="0" applyNumberFormat="1" applyFont="1" applyBorder="1" applyAlignment="1">
      <alignment horizontal="center" vertical="center"/>
    </xf>
    <xf numFmtId="43" fontId="11" fillId="0" borderId="1" xfId="3" applyFont="1" applyBorder="1" applyAlignment="1">
      <alignment horizontal="center" vertical="center"/>
    </xf>
    <xf numFmtId="9" fontId="0" fillId="0" borderId="1" xfId="0" applyNumberFormat="1" applyBorder="1" applyAlignment="1">
      <alignment horizontal="center" vertical="center"/>
    </xf>
    <xf numFmtId="167" fontId="0" fillId="0" borderId="1" xfId="0" applyNumberFormat="1" applyBorder="1" applyAlignment="1">
      <alignment horizontal="center" vertical="center"/>
    </xf>
    <xf numFmtId="9" fontId="0" fillId="0" borderId="1" xfId="0" applyNumberFormat="1" applyBorder="1" applyAlignment="1">
      <alignment vertical="center"/>
    </xf>
    <xf numFmtId="167" fontId="0" fillId="0" borderId="1" xfId="0" applyNumberFormat="1" applyBorder="1" applyAlignment="1">
      <alignment vertical="center"/>
    </xf>
    <xf numFmtId="166" fontId="0" fillId="0" borderId="1" xfId="1" applyNumberFormat="1" applyFont="1" applyFill="1" applyBorder="1" applyAlignment="1">
      <alignment horizontal="center" vertical="center"/>
    </xf>
    <xf numFmtId="164" fontId="11" fillId="6" borderId="1" xfId="7" applyNumberFormat="1" applyFont="1" applyFill="1" applyBorder="1" applyAlignment="1">
      <alignment horizontal="center" vertical="center"/>
    </xf>
    <xf numFmtId="1" fontId="0" fillId="0" borderId="0" xfId="0" applyNumberFormat="1"/>
    <xf numFmtId="164" fontId="0" fillId="0" borderId="0" xfId="3" applyNumberFormat="1" applyFont="1"/>
    <xf numFmtId="0" fontId="2" fillId="0" borderId="1" xfId="0" applyFont="1" applyBorder="1"/>
    <xf numFmtId="0" fontId="0" fillId="0" borderId="1" xfId="0" applyFont="1" applyBorder="1" applyAlignment="1">
      <alignment horizontal="center" vertical="center"/>
    </xf>
    <xf numFmtId="15" fontId="0" fillId="0" borderId="1" xfId="0" applyNumberFormat="1" applyBorder="1" applyAlignment="1">
      <alignment horizontal="center" vertical="center"/>
    </xf>
    <xf numFmtId="0" fontId="0" fillId="0" borderId="0" xfId="0" applyAlignment="1">
      <alignment horizontal="right" vertical="center" wrapText="1"/>
    </xf>
    <xf numFmtId="0" fontId="14" fillId="0" borderId="1" xfId="0" applyFont="1" applyBorder="1" applyAlignment="1">
      <alignment horizontal="center" vertical="center" wrapText="1"/>
    </xf>
    <xf numFmtId="0" fontId="11" fillId="0" borderId="1" xfId="0" applyFont="1" applyBorder="1" applyAlignment="1">
      <alignment horizontal="center" vertical="center"/>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0" fillId="4" borderId="1" xfId="0" applyFont="1" applyFill="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7" fillId="0" borderId="1" xfId="0" applyFont="1" applyBorder="1" applyAlignment="1">
      <alignment horizontal="left" vertical="center"/>
    </xf>
    <xf numFmtId="0" fontId="17"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7" fillId="0" borderId="1" xfId="0" applyFont="1" applyBorder="1" applyAlignment="1">
      <alignment horizontal="left" vertical="center" wrapText="1"/>
    </xf>
    <xf numFmtId="0" fontId="3" fillId="0" borderId="1" xfId="0" applyFont="1" applyBorder="1" applyAlignment="1">
      <alignment horizontal="left" vertical="center"/>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left" vertical="center"/>
    </xf>
    <xf numFmtId="0" fontId="0" fillId="0" borderId="0" xfId="0" applyBorder="1" applyAlignment="1">
      <alignment horizontal="left"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cellXfs>
  <cellStyles count="12">
    <cellStyle name="Comma" xfId="3" builtinId="3"/>
    <cellStyle name="Comma 2" xfId="7"/>
    <cellStyle name="Comma 3" xfId="5"/>
    <cellStyle name="Comma 4" xfId="9"/>
    <cellStyle name="Comma 5" xfId="11"/>
    <cellStyle name="Currency" xfId="1" builtinId="4"/>
    <cellStyle name="Currency 2" xfId="6"/>
    <cellStyle name="Currency 3" xfId="4"/>
    <cellStyle name="Currency 4" xfId="8"/>
    <cellStyle name="Currency 5" xfId="10"/>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628650</xdr:colOff>
      <xdr:row>14</xdr:row>
      <xdr:rowOff>180975</xdr:rowOff>
    </xdr:from>
    <xdr:to>
      <xdr:col>15</xdr:col>
      <xdr:colOff>333375</xdr:colOff>
      <xdr:row>24</xdr:row>
      <xdr:rowOff>66675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0" y="2466975"/>
          <a:ext cx="9858375" cy="179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N31"/>
  <sheetViews>
    <sheetView tabSelected="1" zoomScale="70" zoomScaleNormal="70" workbookViewId="0">
      <selection activeCell="B2" sqref="B2:D4"/>
    </sheetView>
  </sheetViews>
  <sheetFormatPr defaultRowHeight="15" x14ac:dyDescent="0.25"/>
  <cols>
    <col min="1" max="1" width="22.85546875" bestFit="1" customWidth="1"/>
    <col min="2" max="2" width="17.7109375" bestFit="1" customWidth="1"/>
    <col min="3" max="3" width="20.28515625" customWidth="1"/>
    <col min="4" max="4" width="17.7109375" bestFit="1" customWidth="1"/>
    <col min="5" max="5" width="13.5703125" bestFit="1" customWidth="1"/>
    <col min="6" max="6" width="9.140625" style="16"/>
    <col min="7" max="7" width="23" bestFit="1" customWidth="1"/>
    <col min="8" max="8" width="12" bestFit="1" customWidth="1"/>
    <col min="9" max="9" width="25.85546875" bestFit="1" customWidth="1"/>
    <col min="10" max="10" width="9.140625" style="16"/>
    <col min="11" max="11" width="42.42578125" bestFit="1" customWidth="1"/>
    <col min="12" max="12" width="17.7109375" bestFit="1" customWidth="1"/>
    <col min="13" max="13" width="27.42578125" bestFit="1" customWidth="1"/>
    <col min="14" max="14" width="9.140625" style="16"/>
  </cols>
  <sheetData>
    <row r="2" spans="1:14" ht="21" x14ac:dyDescent="0.25">
      <c r="B2" s="83" t="s">
        <v>22</v>
      </c>
      <c r="C2" s="83"/>
      <c r="D2" s="83"/>
      <c r="E2" s="16"/>
      <c r="L2" s="16"/>
      <c r="M2" s="16"/>
      <c r="N2"/>
    </row>
    <row r="3" spans="1:14" ht="42" x14ac:dyDescent="0.25">
      <c r="B3" s="20" t="s">
        <v>23</v>
      </c>
      <c r="C3" s="20" t="s">
        <v>70</v>
      </c>
      <c r="D3" s="20" t="s">
        <v>71</v>
      </c>
      <c r="E3" s="16"/>
      <c r="K3" s="83" t="s">
        <v>65</v>
      </c>
      <c r="L3" s="83"/>
      <c r="M3" s="83"/>
      <c r="N3"/>
    </row>
    <row r="4" spans="1:14" ht="21" x14ac:dyDescent="0.25">
      <c r="A4" s="58" t="s">
        <v>69</v>
      </c>
      <c r="B4" s="66">
        <v>2267</v>
      </c>
      <c r="C4" s="18">
        <v>8500</v>
      </c>
      <c r="D4" s="18">
        <f>B4*C4</f>
        <v>19269500</v>
      </c>
      <c r="E4" s="16"/>
      <c r="G4" s="16"/>
      <c r="H4" s="16"/>
      <c r="I4" s="24"/>
      <c r="K4" s="31" t="s">
        <v>29</v>
      </c>
      <c r="L4" s="23">
        <v>5500</v>
      </c>
      <c r="M4" s="55" t="s">
        <v>30</v>
      </c>
    </row>
    <row r="5" spans="1:14" ht="21" x14ac:dyDescent="0.25">
      <c r="A5" s="16"/>
      <c r="B5" s="25"/>
      <c r="C5" s="26"/>
      <c r="D5" s="26"/>
      <c r="E5" s="16"/>
      <c r="G5" s="16"/>
      <c r="H5" s="16"/>
      <c r="I5" s="24"/>
      <c r="K5" s="31" t="s">
        <v>32</v>
      </c>
      <c r="L5" s="63" t="s">
        <v>72</v>
      </c>
      <c r="M5" s="55" t="s">
        <v>33</v>
      </c>
    </row>
    <row r="6" spans="1:14" ht="21" x14ac:dyDescent="0.25">
      <c r="B6" s="25"/>
      <c r="C6" s="26"/>
      <c r="D6" s="26"/>
      <c r="E6" s="16"/>
      <c r="G6" s="16"/>
      <c r="H6" s="16"/>
      <c r="I6" s="16"/>
      <c r="K6" s="16"/>
      <c r="L6" s="16"/>
      <c r="M6" s="16"/>
    </row>
    <row r="7" spans="1:14" ht="21" x14ac:dyDescent="0.25">
      <c r="B7" s="83" t="s">
        <v>24</v>
      </c>
      <c r="C7" s="83"/>
      <c r="D7" s="83"/>
      <c r="E7" s="16"/>
      <c r="G7" s="16"/>
      <c r="H7" s="56" t="s">
        <v>64</v>
      </c>
      <c r="I7" s="54" t="s">
        <v>66</v>
      </c>
      <c r="K7" s="29" t="s">
        <v>35</v>
      </c>
      <c r="L7" s="30">
        <f>B4*L4</f>
        <v>12468500</v>
      </c>
      <c r="M7" s="16"/>
    </row>
    <row r="8" spans="1:14" ht="21" x14ac:dyDescent="0.25">
      <c r="B8" s="20" t="s">
        <v>25</v>
      </c>
      <c r="C8" s="21" t="s">
        <v>26</v>
      </c>
      <c r="D8" s="21" t="s">
        <v>27</v>
      </c>
      <c r="E8" s="16"/>
      <c r="G8" s="54" t="s">
        <v>62</v>
      </c>
      <c r="H8" s="59">
        <f>Building!G4</f>
        <v>15084</v>
      </c>
      <c r="I8" s="81" t="s">
        <v>73</v>
      </c>
      <c r="K8" s="29" t="s">
        <v>36</v>
      </c>
      <c r="L8" s="30">
        <f>(H10*I10)+(H11*I11)</f>
        <v>17792642.140468229</v>
      </c>
      <c r="M8" s="16"/>
    </row>
    <row r="9" spans="1:14" ht="21" x14ac:dyDescent="0.35">
      <c r="B9" s="65">
        <f>D4</f>
        <v>19269500</v>
      </c>
      <c r="C9" s="22">
        <f>Building!W7</f>
        <v>15241224.942857143</v>
      </c>
      <c r="D9" s="19">
        <f>B9+C9</f>
        <v>34510724.942857146</v>
      </c>
      <c r="E9" s="16"/>
      <c r="G9" s="54" t="s">
        <v>60</v>
      </c>
      <c r="H9" s="59">
        <f>Building!G5+Building!G6</f>
        <v>3390</v>
      </c>
      <c r="I9" s="82"/>
      <c r="K9" s="29" t="s">
        <v>27</v>
      </c>
      <c r="L9" s="30">
        <f>L7+L8</f>
        <v>30261142.140468229</v>
      </c>
      <c r="M9" s="16"/>
    </row>
    <row r="10" spans="1:14" ht="21" x14ac:dyDescent="0.25">
      <c r="B10" s="80" t="s">
        <v>38</v>
      </c>
      <c r="C10" s="60" t="s">
        <v>28</v>
      </c>
      <c r="D10" s="61">
        <v>34500000</v>
      </c>
      <c r="F10" s="72" t="s">
        <v>72</v>
      </c>
      <c r="G10" s="64" t="s">
        <v>63</v>
      </c>
      <c r="H10" s="59">
        <f>H8/H13</f>
        <v>1401.3377926421406</v>
      </c>
      <c r="I10" s="62">
        <v>10000</v>
      </c>
      <c r="K10" s="16"/>
      <c r="L10" s="16"/>
      <c r="M10" s="16"/>
    </row>
    <row r="11" spans="1:14" ht="21" x14ac:dyDescent="0.25">
      <c r="B11" s="80"/>
      <c r="C11" s="17" t="s">
        <v>31</v>
      </c>
      <c r="D11" s="18">
        <f>D10*E11</f>
        <v>29325000</v>
      </c>
      <c r="E11" s="58">
        <v>0.85</v>
      </c>
      <c r="F11" s="72" t="s">
        <v>72</v>
      </c>
      <c r="G11" s="64" t="s">
        <v>61</v>
      </c>
      <c r="H11" s="59">
        <f>H9/H13</f>
        <v>314.93868450390192</v>
      </c>
      <c r="I11" s="62">
        <v>12000</v>
      </c>
      <c r="K11" s="16"/>
      <c r="L11" s="16"/>
      <c r="M11" s="16"/>
    </row>
    <row r="12" spans="1:14" ht="21" x14ac:dyDescent="0.25">
      <c r="B12" s="80"/>
      <c r="C12" s="17" t="s">
        <v>34</v>
      </c>
      <c r="D12" s="18">
        <f>D10*E12</f>
        <v>25875000</v>
      </c>
      <c r="E12" s="58">
        <v>0.75</v>
      </c>
      <c r="M12" s="27"/>
    </row>
    <row r="13" spans="1:14" ht="18" customHeight="1" x14ac:dyDescent="0.25">
      <c r="B13" s="16"/>
      <c r="C13" s="16"/>
      <c r="D13" s="16"/>
      <c r="H13" s="58">
        <v>10.763999999999999</v>
      </c>
      <c r="K13" s="79" t="s">
        <v>37</v>
      </c>
      <c r="L13" s="79"/>
      <c r="M13" s="28">
        <f>(D9-L9)/D9</f>
        <v>0.12313803344975732</v>
      </c>
    </row>
    <row r="15" spans="1:14" x14ac:dyDescent="0.25">
      <c r="G15" s="16"/>
      <c r="H15" s="16"/>
    </row>
    <row r="20" spans="3:9" x14ac:dyDescent="0.25">
      <c r="C20" s="16"/>
    </row>
    <row r="26" spans="3:9" x14ac:dyDescent="0.25">
      <c r="H26" s="74"/>
      <c r="I26" s="74"/>
    </row>
    <row r="27" spans="3:9" x14ac:dyDescent="0.25">
      <c r="H27" s="74"/>
      <c r="I27" s="74"/>
    </row>
    <row r="28" spans="3:9" x14ac:dyDescent="0.25">
      <c r="H28" s="74"/>
      <c r="I28" s="74"/>
    </row>
    <row r="29" spans="3:9" x14ac:dyDescent="0.25">
      <c r="I29" s="74"/>
    </row>
    <row r="30" spans="3:9" x14ac:dyDescent="0.25">
      <c r="I30" s="73"/>
    </row>
    <row r="31" spans="3:9" x14ac:dyDescent="0.25">
      <c r="I31" s="1"/>
    </row>
  </sheetData>
  <mergeCells count="6">
    <mergeCell ref="K13:L13"/>
    <mergeCell ref="B10:B12"/>
    <mergeCell ref="I8:I9"/>
    <mergeCell ref="K3:M3"/>
    <mergeCell ref="B2:D2"/>
    <mergeCell ref="B7:D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Z26"/>
  <sheetViews>
    <sheetView topLeftCell="B1" zoomScaleNormal="100" zoomScaleSheetLayoutView="85" workbookViewId="0">
      <selection activeCell="R5" sqref="R5"/>
    </sheetView>
  </sheetViews>
  <sheetFormatPr defaultRowHeight="15" x14ac:dyDescent="0.25"/>
  <cols>
    <col min="1" max="1" width="3.140625" customWidth="1"/>
    <col min="2" max="2" width="3.140625" style="16" customWidth="1"/>
    <col min="3" max="3" width="7.28515625" bestFit="1" customWidth="1"/>
    <col min="4" max="4" width="12.5703125" bestFit="1" customWidth="1"/>
    <col min="5" max="5" width="9.140625" style="12" bestFit="1" customWidth="1"/>
    <col min="6" max="6" width="29.7109375" style="12" bestFit="1" customWidth="1"/>
    <col min="7" max="7" width="10" style="15" bestFit="1" customWidth="1"/>
    <col min="8" max="8" width="6.85546875" bestFit="1" customWidth="1"/>
    <col min="9" max="9" width="10" style="16" hidden="1" customWidth="1"/>
    <col min="10" max="10" width="11.42578125" style="16" hidden="1" customWidth="1"/>
    <col min="11" max="11" width="14.28515625" style="16" bestFit="1" customWidth="1"/>
    <col min="12" max="12" width="11.140625" bestFit="1" customWidth="1"/>
    <col min="13" max="13" width="9.5703125" bestFit="1" customWidth="1"/>
    <col min="14" max="14" width="10.42578125" bestFit="1" customWidth="1"/>
    <col min="15" max="15" width="11" bestFit="1" customWidth="1"/>
    <col min="16" max="16" width="7.7109375" hidden="1" customWidth="1"/>
    <col min="17" max="17" width="12.42578125" hidden="1" customWidth="1"/>
    <col min="18" max="18" width="10.85546875" bestFit="1" customWidth="1"/>
    <col min="19" max="19" width="13.28515625" customWidth="1"/>
    <col min="20" max="20" width="12.42578125" customWidth="1"/>
    <col min="21" max="21" width="13.28515625" bestFit="1" customWidth="1"/>
    <col min="22" max="22" width="11.140625" hidden="1" customWidth="1"/>
    <col min="23" max="23" width="13.140625" style="13" bestFit="1" customWidth="1"/>
    <col min="24" max="24" width="17" bestFit="1" customWidth="1"/>
    <col min="25" max="26" width="14.28515625" bestFit="1" customWidth="1"/>
  </cols>
  <sheetData>
    <row r="2" spans="3:26" ht="15.75" x14ac:dyDescent="0.25">
      <c r="C2" s="87" t="s">
        <v>74</v>
      </c>
      <c r="D2" s="87"/>
      <c r="E2" s="87"/>
      <c r="F2" s="87"/>
      <c r="G2" s="87"/>
      <c r="H2" s="87"/>
      <c r="I2" s="87"/>
      <c r="J2" s="87"/>
      <c r="K2" s="87"/>
      <c r="L2" s="87"/>
      <c r="M2" s="87"/>
      <c r="N2" s="87"/>
      <c r="O2" s="87"/>
      <c r="P2" s="87"/>
      <c r="Q2" s="87"/>
      <c r="R2" s="87"/>
      <c r="S2" s="87"/>
      <c r="T2" s="87"/>
      <c r="U2" s="87"/>
      <c r="V2" s="87"/>
      <c r="W2" s="87"/>
    </row>
    <row r="3" spans="3:26" s="11" customFormat="1" ht="67.5" customHeight="1" x14ac:dyDescent="0.25">
      <c r="C3" s="9" t="s">
        <v>0</v>
      </c>
      <c r="D3" s="9" t="s">
        <v>1</v>
      </c>
      <c r="E3" s="10" t="s">
        <v>20</v>
      </c>
      <c r="F3" s="10" t="s">
        <v>4</v>
      </c>
      <c r="G3" s="14" t="s">
        <v>16</v>
      </c>
      <c r="H3" s="10" t="s">
        <v>13</v>
      </c>
      <c r="I3" s="10" t="s">
        <v>42</v>
      </c>
      <c r="J3" s="10" t="s">
        <v>58</v>
      </c>
      <c r="K3" s="14" t="s">
        <v>45</v>
      </c>
      <c r="L3" s="10" t="s">
        <v>2</v>
      </c>
      <c r="M3" s="10" t="s">
        <v>3</v>
      </c>
      <c r="N3" s="10" t="s">
        <v>14</v>
      </c>
      <c r="O3" s="10" t="s">
        <v>15</v>
      </c>
      <c r="P3" s="10" t="s">
        <v>5</v>
      </c>
      <c r="Q3" s="10" t="s">
        <v>7</v>
      </c>
      <c r="R3" s="10" t="s">
        <v>40</v>
      </c>
      <c r="S3" s="10" t="s">
        <v>11</v>
      </c>
      <c r="T3" s="10" t="s">
        <v>8</v>
      </c>
      <c r="U3" s="10" t="s">
        <v>9</v>
      </c>
      <c r="V3" s="10" t="s">
        <v>12</v>
      </c>
      <c r="W3" s="10" t="s">
        <v>10</v>
      </c>
    </row>
    <row r="4" spans="3:26" s="16" customFormat="1" ht="45" x14ac:dyDescent="0.25">
      <c r="C4" s="8">
        <v>1</v>
      </c>
      <c r="D4" s="34" t="s">
        <v>18</v>
      </c>
      <c r="E4" s="35" t="s">
        <v>59</v>
      </c>
      <c r="F4" s="57" t="s">
        <v>67</v>
      </c>
      <c r="G4" s="33">
        <f>(117*92)+(54*80)</f>
        <v>15084</v>
      </c>
      <c r="H4" s="34">
        <v>30</v>
      </c>
      <c r="I4" s="69"/>
      <c r="J4" s="70"/>
      <c r="K4" s="33">
        <f>G4</f>
        <v>15084</v>
      </c>
      <c r="L4" s="34">
        <v>2018</v>
      </c>
      <c r="M4" s="34">
        <v>2022</v>
      </c>
      <c r="N4" s="34">
        <f>M4-L4</f>
        <v>4</v>
      </c>
      <c r="O4" s="34">
        <v>35</v>
      </c>
      <c r="P4" s="2">
        <v>0.1</v>
      </c>
      <c r="Q4" s="3">
        <f t="shared" ref="Q4:Q5" si="0">(1-P4)/O4</f>
        <v>2.5714285714285714E-2</v>
      </c>
      <c r="R4" s="71">
        <v>900</v>
      </c>
      <c r="S4" s="4">
        <f t="shared" ref="S4:S5" si="1">R4*K4</f>
        <v>13575600</v>
      </c>
      <c r="T4" s="4">
        <f t="shared" ref="T4" si="2">S4*Q4*N4</f>
        <v>1396347.4285714286</v>
      </c>
      <c r="U4" s="4">
        <f t="shared" ref="U4" si="3">MAX(S4-T4,0)</f>
        <v>12179252.571428571</v>
      </c>
      <c r="V4" s="6">
        <v>0.05</v>
      </c>
      <c r="W4" s="4">
        <f t="shared" ref="W4:W5" si="4">IF(U4&gt;P4*S4,U4*(1-V4),S4*P4)</f>
        <v>11570289.942857143</v>
      </c>
      <c r="X4" s="7"/>
      <c r="Y4" s="1"/>
      <c r="Z4" s="1"/>
    </row>
    <row r="5" spans="3:26" s="16" customFormat="1" ht="45" x14ac:dyDescent="0.25">
      <c r="C5" s="8">
        <v>2</v>
      </c>
      <c r="D5" s="34" t="s">
        <v>18</v>
      </c>
      <c r="E5" s="35" t="s">
        <v>39</v>
      </c>
      <c r="F5" s="57" t="s">
        <v>57</v>
      </c>
      <c r="G5" s="33">
        <f>20*117</f>
        <v>2340</v>
      </c>
      <c r="H5" s="34">
        <v>10</v>
      </c>
      <c r="I5" s="69"/>
      <c r="J5" s="70"/>
      <c r="K5" s="33">
        <f>G5</f>
        <v>2340</v>
      </c>
      <c r="L5" s="34">
        <v>2018</v>
      </c>
      <c r="M5" s="34">
        <v>2022</v>
      </c>
      <c r="N5" s="34">
        <f t="shared" ref="N5" si="5">M5-L5</f>
        <v>4</v>
      </c>
      <c r="O5" s="34">
        <v>60</v>
      </c>
      <c r="P5" s="2">
        <v>0.1</v>
      </c>
      <c r="Q5" s="3">
        <f t="shared" si="0"/>
        <v>1.5000000000000001E-2</v>
      </c>
      <c r="R5" s="71">
        <v>1200</v>
      </c>
      <c r="S5" s="4">
        <f t="shared" si="1"/>
        <v>2808000</v>
      </c>
      <c r="T5" s="4">
        <f>S5*Q5*N5</f>
        <v>168480</v>
      </c>
      <c r="U5" s="4">
        <f>MAX(S5-T5,0)</f>
        <v>2639520</v>
      </c>
      <c r="V5" s="6">
        <v>0</v>
      </c>
      <c r="W5" s="4">
        <f t="shared" si="4"/>
        <v>2639520</v>
      </c>
      <c r="X5" s="7"/>
      <c r="Y5" s="1"/>
      <c r="Z5" s="1"/>
    </row>
    <row r="6" spans="3:26" s="16" customFormat="1" ht="45" x14ac:dyDescent="0.25">
      <c r="C6" s="8">
        <v>3</v>
      </c>
      <c r="D6" s="91" t="s">
        <v>68</v>
      </c>
      <c r="E6" s="92"/>
      <c r="F6" s="57" t="s">
        <v>57</v>
      </c>
      <c r="G6" s="33">
        <v>1050</v>
      </c>
      <c r="H6" s="34">
        <v>10</v>
      </c>
      <c r="I6" s="67"/>
      <c r="J6" s="68"/>
      <c r="K6" s="33">
        <f>G6</f>
        <v>1050</v>
      </c>
      <c r="L6" s="34">
        <v>2018</v>
      </c>
      <c r="M6" s="34">
        <v>2022</v>
      </c>
      <c r="N6" s="34">
        <f t="shared" ref="N6" si="6">M6-L6</f>
        <v>4</v>
      </c>
      <c r="O6" s="34">
        <v>60</v>
      </c>
      <c r="P6" s="67">
        <v>0.1</v>
      </c>
      <c r="Q6" s="3">
        <f t="shared" ref="Q6" si="7">(1-P6)/O6</f>
        <v>1.5000000000000001E-2</v>
      </c>
      <c r="R6" s="71">
        <v>1100</v>
      </c>
      <c r="S6" s="4">
        <f t="shared" ref="S6" si="8">R6*K6</f>
        <v>1155000</v>
      </c>
      <c r="T6" s="4">
        <f>S6*Q6*N6</f>
        <v>69300</v>
      </c>
      <c r="U6" s="4">
        <f>MAX(S6-T6,0)</f>
        <v>1085700</v>
      </c>
      <c r="V6" s="6">
        <v>0.05</v>
      </c>
      <c r="W6" s="4">
        <f t="shared" ref="W6" si="9">IF(U6&gt;P6*S6,U6*(1-V6),S6*P6)</f>
        <v>1031415</v>
      </c>
      <c r="X6" s="7"/>
      <c r="Y6" s="1"/>
      <c r="Z6" s="1"/>
    </row>
    <row r="7" spans="3:26" x14ac:dyDescent="0.25">
      <c r="C7" s="88" t="s">
        <v>6</v>
      </c>
      <c r="D7" s="88"/>
      <c r="E7" s="88"/>
      <c r="F7" s="88"/>
      <c r="G7" s="32">
        <f>SUM(G4:G6)</f>
        <v>18474</v>
      </c>
      <c r="H7" s="50"/>
      <c r="I7" s="50"/>
      <c r="J7" s="50"/>
      <c r="K7" s="32">
        <f>SUM(K4:K6)</f>
        <v>18474</v>
      </c>
      <c r="L7" s="88"/>
      <c r="M7" s="88"/>
      <c r="N7" s="88"/>
      <c r="O7" s="88"/>
      <c r="P7" s="88"/>
      <c r="Q7" s="88"/>
      <c r="R7" s="88"/>
      <c r="S7" s="5">
        <f>SUM(S4:S6)</f>
        <v>17538600</v>
      </c>
      <c r="T7" s="5"/>
      <c r="U7" s="5">
        <f>SUM(U4:U6)</f>
        <v>15904472.571428571</v>
      </c>
      <c r="V7" s="5"/>
      <c r="W7" s="5">
        <f>SUM((W4:W6))</f>
        <v>15241224.942857143</v>
      </c>
      <c r="X7" s="7"/>
    </row>
    <row r="8" spans="3:26" x14ac:dyDescent="0.25">
      <c r="C8" s="90" t="s">
        <v>17</v>
      </c>
      <c r="D8" s="90"/>
      <c r="E8" s="90"/>
      <c r="F8" s="90"/>
      <c r="G8" s="90"/>
      <c r="H8" s="90"/>
      <c r="I8" s="90"/>
      <c r="J8" s="90"/>
      <c r="K8" s="90"/>
      <c r="L8" s="90"/>
      <c r="M8" s="90"/>
      <c r="N8" s="90"/>
      <c r="O8" s="90"/>
      <c r="P8" s="90"/>
      <c r="Q8" s="90"/>
      <c r="R8" s="90"/>
      <c r="S8" s="90"/>
      <c r="T8" s="90"/>
      <c r="U8" s="90"/>
      <c r="V8" s="90"/>
      <c r="W8" s="90"/>
      <c r="X8" s="7"/>
    </row>
    <row r="9" spans="3:26" x14ac:dyDescent="0.25">
      <c r="C9" s="89" t="s">
        <v>21</v>
      </c>
      <c r="D9" s="89"/>
      <c r="E9" s="89"/>
      <c r="F9" s="89"/>
      <c r="G9" s="89"/>
      <c r="H9" s="89"/>
      <c r="I9" s="89"/>
      <c r="J9" s="89"/>
      <c r="K9" s="89"/>
      <c r="L9" s="89"/>
      <c r="M9" s="89"/>
      <c r="N9" s="89"/>
      <c r="O9" s="89"/>
      <c r="P9" s="89"/>
      <c r="Q9" s="89"/>
      <c r="R9" s="89"/>
      <c r="S9" s="89"/>
      <c r="T9" s="89"/>
      <c r="U9" s="89"/>
      <c r="V9" s="89"/>
      <c r="W9" s="89"/>
      <c r="X9" s="7"/>
    </row>
    <row r="10" spans="3:26" x14ac:dyDescent="0.25">
      <c r="C10" s="89" t="s">
        <v>75</v>
      </c>
      <c r="D10" s="86"/>
      <c r="E10" s="86"/>
      <c r="F10" s="86"/>
      <c r="G10" s="86"/>
      <c r="H10" s="86"/>
      <c r="I10" s="86"/>
      <c r="J10" s="86"/>
      <c r="K10" s="86"/>
      <c r="L10" s="86"/>
      <c r="M10" s="86"/>
      <c r="N10" s="86"/>
      <c r="O10" s="86"/>
      <c r="P10" s="86"/>
      <c r="Q10" s="86"/>
      <c r="R10" s="86"/>
      <c r="S10" s="86"/>
      <c r="T10" s="86"/>
      <c r="U10" s="86"/>
      <c r="V10" s="86"/>
      <c r="W10" s="86"/>
      <c r="X10" s="7"/>
    </row>
    <row r="11" spans="3:26" x14ac:dyDescent="0.25">
      <c r="C11" s="86" t="s">
        <v>19</v>
      </c>
      <c r="D11" s="86"/>
      <c r="E11" s="86"/>
      <c r="F11" s="86"/>
      <c r="G11" s="86"/>
      <c r="H11" s="86"/>
      <c r="I11" s="86"/>
      <c r="J11" s="86"/>
      <c r="K11" s="86"/>
      <c r="L11" s="86"/>
      <c r="M11" s="86"/>
      <c r="N11" s="86"/>
      <c r="O11" s="86"/>
      <c r="P11" s="86"/>
      <c r="Q11" s="86"/>
      <c r="R11" s="86"/>
      <c r="S11" s="86"/>
      <c r="T11" s="86"/>
      <c r="U11" s="86"/>
      <c r="V11" s="86"/>
      <c r="W11" s="86"/>
      <c r="X11" s="7"/>
    </row>
    <row r="12" spans="3:26" x14ac:dyDescent="0.25">
      <c r="X12" s="7"/>
    </row>
    <row r="13" spans="3:26" hidden="1" x14ac:dyDescent="0.25">
      <c r="F13" s="47" t="s">
        <v>55</v>
      </c>
      <c r="G13" s="48" t="s">
        <v>56</v>
      </c>
      <c r="H13" s="49" t="s">
        <v>20</v>
      </c>
    </row>
    <row r="14" spans="3:26" hidden="1" x14ac:dyDescent="0.25">
      <c r="F14" s="36" t="s">
        <v>43</v>
      </c>
      <c r="G14" s="37">
        <v>5118</v>
      </c>
      <c r="H14" s="40" t="s">
        <v>51</v>
      </c>
      <c r="I14" s="39">
        <f>G14*10.764</f>
        <v>55090.151999999995</v>
      </c>
      <c r="J14" s="40" t="s">
        <v>50</v>
      </c>
    </row>
    <row r="15" spans="3:26" hidden="1" x14ac:dyDescent="0.25">
      <c r="F15" s="36" t="s">
        <v>42</v>
      </c>
      <c r="G15" s="41" t="e">
        <f>#REF!</f>
        <v>#REF!</v>
      </c>
      <c r="H15" s="84"/>
      <c r="I15" s="27"/>
    </row>
    <row r="16" spans="3:26" hidden="1" x14ac:dyDescent="0.25">
      <c r="C16" s="16"/>
      <c r="D16" s="16"/>
      <c r="F16" s="36" t="s">
        <v>41</v>
      </c>
      <c r="G16" s="38" t="e">
        <f>#REF!</f>
        <v>#REF!</v>
      </c>
      <c r="H16" s="85"/>
      <c r="J16" s="51">
        <f>SUM(K4:K5)</f>
        <v>17424</v>
      </c>
    </row>
    <row r="17" spans="3:23" hidden="1" x14ac:dyDescent="0.25">
      <c r="F17" s="36" t="s">
        <v>44</v>
      </c>
      <c r="G17" s="33" t="e">
        <f>I14*G15</f>
        <v>#REF!</v>
      </c>
      <c r="H17" s="34" t="s">
        <v>50</v>
      </c>
      <c r="I17" s="44"/>
      <c r="J17" s="51" t="e">
        <f>SUM(#REF!)</f>
        <v>#REF!</v>
      </c>
    </row>
    <row r="18" spans="3:23" s="16" customFormat="1" hidden="1" x14ac:dyDescent="0.25">
      <c r="C18"/>
      <c r="D18"/>
      <c r="E18" s="12"/>
      <c r="F18" s="52" t="s">
        <v>48</v>
      </c>
      <c r="G18" s="53">
        <f>SUM(G5:G5)</f>
        <v>2340</v>
      </c>
      <c r="H18" s="34" t="s">
        <v>50</v>
      </c>
      <c r="I18" s="44"/>
      <c r="W18" s="13"/>
    </row>
    <row r="19" spans="3:23" ht="30" hidden="1" x14ac:dyDescent="0.25">
      <c r="F19" s="36" t="s">
        <v>47</v>
      </c>
      <c r="G19" s="33" t="e">
        <f>(I14*G16)-G17</f>
        <v>#REF!</v>
      </c>
      <c r="H19" s="34" t="s">
        <v>50</v>
      </c>
      <c r="I19" s="44"/>
    </row>
    <row r="20" spans="3:23" hidden="1" x14ac:dyDescent="0.25">
      <c r="F20" s="36" t="s">
        <v>46</v>
      </c>
      <c r="G20" s="33" t="e">
        <f>G19</f>
        <v>#REF!</v>
      </c>
      <c r="H20" s="34" t="s">
        <v>50</v>
      </c>
    </row>
    <row r="21" spans="3:23" s="16" customFormat="1" hidden="1" x14ac:dyDescent="0.25">
      <c r="C21"/>
      <c r="D21"/>
      <c r="E21" s="12"/>
      <c r="F21" s="52" t="s">
        <v>49</v>
      </c>
      <c r="G21" s="53" t="e">
        <f>SUM(#REF!)</f>
        <v>#REF!</v>
      </c>
      <c r="H21" s="34" t="s">
        <v>50</v>
      </c>
      <c r="W21" s="13"/>
    </row>
    <row r="22" spans="3:23" hidden="1" x14ac:dyDescent="0.25">
      <c r="F22" s="43" t="s">
        <v>52</v>
      </c>
      <c r="G22" s="33" t="e">
        <f>G18+G21</f>
        <v>#REF!</v>
      </c>
      <c r="H22" s="34" t="s">
        <v>50</v>
      </c>
    </row>
    <row r="23" spans="3:23" ht="30" hidden="1" x14ac:dyDescent="0.25">
      <c r="F23" s="43" t="s">
        <v>53</v>
      </c>
      <c r="G23" s="46" t="e">
        <f>I14*G16</f>
        <v>#REF!</v>
      </c>
      <c r="H23" s="34" t="s">
        <v>50</v>
      </c>
    </row>
    <row r="24" spans="3:23" hidden="1" x14ac:dyDescent="0.25">
      <c r="F24" s="42" t="s">
        <v>54</v>
      </c>
      <c r="G24" s="45" t="e">
        <f>G23-G22</f>
        <v>#REF!</v>
      </c>
      <c r="H24" s="34" t="s">
        <v>50</v>
      </c>
    </row>
    <row r="25" spans="3:23" x14ac:dyDescent="0.25">
      <c r="F25" s="78" t="s">
        <v>89</v>
      </c>
      <c r="G25" s="15">
        <f>G4</f>
        <v>15084</v>
      </c>
    </row>
    <row r="26" spans="3:23" x14ac:dyDescent="0.25">
      <c r="F26" s="78" t="s">
        <v>90</v>
      </c>
      <c r="G26" s="15">
        <f>G5+G6</f>
        <v>3390</v>
      </c>
    </row>
  </sheetData>
  <mergeCells count="9">
    <mergeCell ref="H15:H16"/>
    <mergeCell ref="C11:W11"/>
    <mergeCell ref="C2:W2"/>
    <mergeCell ref="C7:F7"/>
    <mergeCell ref="L7:R7"/>
    <mergeCell ref="C9:W9"/>
    <mergeCell ref="C10:W10"/>
    <mergeCell ref="C8:W8"/>
    <mergeCell ref="D6:E6"/>
  </mergeCells>
  <pageMargins left="0.31496062992125984" right="0.31496062992125984" top="0.31496062992125984" bottom="0.31496062992125984"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N12"/>
  <sheetViews>
    <sheetView workbookViewId="0">
      <selection activeCell="C2" sqref="C2"/>
    </sheetView>
  </sheetViews>
  <sheetFormatPr defaultRowHeight="15" x14ac:dyDescent="0.25"/>
  <cols>
    <col min="2" max="2" width="16.5703125" customWidth="1"/>
    <col min="3" max="3" width="16.85546875" style="58" bestFit="1" customWidth="1"/>
    <col min="4" max="4" width="7.28515625" style="58" bestFit="1" customWidth="1"/>
    <col min="5" max="5" width="18.85546875" bestFit="1" customWidth="1"/>
    <col min="13" max="13" width="10.42578125" customWidth="1"/>
  </cols>
  <sheetData>
    <row r="1" spans="2:14" s="16" customFormat="1" x14ac:dyDescent="0.25">
      <c r="C1" s="58"/>
      <c r="D1" s="58"/>
    </row>
    <row r="2" spans="2:14" s="16" customFormat="1" x14ac:dyDescent="0.25">
      <c r="B2" s="75" t="s">
        <v>88</v>
      </c>
      <c r="C2" s="77">
        <v>42915</v>
      </c>
      <c r="D2" s="58"/>
    </row>
    <row r="4" spans="2:14" x14ac:dyDescent="0.25">
      <c r="B4" s="75" t="s">
        <v>76</v>
      </c>
      <c r="C4" s="34">
        <v>2267</v>
      </c>
      <c r="D4" s="34" t="s">
        <v>85</v>
      </c>
      <c r="E4" s="76" t="s">
        <v>77</v>
      </c>
    </row>
    <row r="6" spans="2:14" s="16" customFormat="1" x14ac:dyDescent="0.25">
      <c r="B6" s="75" t="s">
        <v>86</v>
      </c>
      <c r="C6" s="93" t="s">
        <v>87</v>
      </c>
      <c r="D6" s="94"/>
      <c r="E6" s="94"/>
      <c r="F6" s="94"/>
      <c r="G6" s="94"/>
      <c r="H6" s="94"/>
      <c r="I6" s="94"/>
      <c r="J6" s="94"/>
      <c r="K6" s="94"/>
      <c r="L6" s="94"/>
      <c r="M6" s="94"/>
      <c r="N6" s="94"/>
    </row>
    <row r="7" spans="2:14" s="16" customFormat="1" x14ac:dyDescent="0.25">
      <c r="C7" s="58"/>
      <c r="D7" s="58"/>
    </row>
    <row r="8" spans="2:14" x14ac:dyDescent="0.25">
      <c r="B8" s="75" t="s">
        <v>78</v>
      </c>
      <c r="C8" s="34" t="s">
        <v>79</v>
      </c>
      <c r="D8" s="34" t="s">
        <v>82</v>
      </c>
      <c r="E8" s="40" t="s">
        <v>80</v>
      </c>
      <c r="F8" s="95" t="s">
        <v>81</v>
      </c>
      <c r="G8" s="95"/>
      <c r="H8" s="95"/>
      <c r="I8" s="95"/>
      <c r="J8" s="95"/>
      <c r="K8" s="95"/>
      <c r="L8" s="95"/>
    </row>
    <row r="10" spans="2:14" ht="15" customHeight="1" x14ac:dyDescent="0.25">
      <c r="B10" s="96" t="s">
        <v>83</v>
      </c>
      <c r="C10" s="97">
        <v>2800</v>
      </c>
      <c r="D10" s="97" t="s">
        <v>84</v>
      </c>
    </row>
    <row r="11" spans="2:14" x14ac:dyDescent="0.25">
      <c r="B11" s="96"/>
      <c r="C11" s="97"/>
      <c r="D11" s="97"/>
    </row>
    <row r="12" spans="2:14" s="16" customFormat="1" x14ac:dyDescent="0.25">
      <c r="C12" s="58"/>
      <c r="D12" s="58"/>
    </row>
  </sheetData>
  <mergeCells count="5">
    <mergeCell ref="C6:N6"/>
    <mergeCell ref="F8:L8"/>
    <mergeCell ref="B10:B11"/>
    <mergeCell ref="C10:C11"/>
    <mergeCell ref="D10:D1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Land</vt:lpstr>
      <vt:lpstr>Building</vt:lpstr>
      <vt:lpstr>Details from other Documents</vt:lpstr>
      <vt:lpstr>Building!Print_Area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Arun Tomar</cp:lastModifiedBy>
  <cp:lastPrinted>2022-01-07T08:12:53Z</cp:lastPrinted>
  <dcterms:created xsi:type="dcterms:W3CDTF">2021-09-16T11:33:35Z</dcterms:created>
  <dcterms:modified xsi:type="dcterms:W3CDTF">2022-08-18T09:50:46Z</dcterms:modified>
</cp:coreProperties>
</file>