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ahul Gupta\In progress\VIS(2022-23)-PL259-197-363 Dehradun\"/>
    </mc:Choice>
  </mc:AlternateContent>
  <bookViews>
    <workbookView xWindow="0" yWindow="0" windowWidth="20490" windowHeight="7755" activeTab="2"/>
  </bookViews>
  <sheets>
    <sheet name="working of building" sheetId="1" r:id="rId1"/>
    <sheet name="Boundary wall" sheetId="4" r:id="rId2"/>
    <sheet name="summary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5" l="1"/>
  <c r="Y12" i="1"/>
  <c r="E25" i="1"/>
  <c r="S15" i="4"/>
  <c r="S14" i="4"/>
  <c r="S9" i="4"/>
  <c r="S8" i="4"/>
  <c r="P5" i="1" l="1"/>
  <c r="L8" i="5"/>
  <c r="H11" i="5"/>
  <c r="H10" i="5"/>
  <c r="H6" i="5"/>
  <c r="F8" i="5"/>
  <c r="P9" i="4" l="1"/>
  <c r="O12" i="4"/>
  <c r="M12" i="4"/>
  <c r="K13" i="4"/>
  <c r="K12" i="4"/>
  <c r="N8" i="4"/>
  <c r="I3" i="4"/>
  <c r="G3" i="4"/>
  <c r="D3" i="4"/>
  <c r="J3" i="4" l="1"/>
  <c r="K3" i="4" s="1"/>
  <c r="M3" i="4" s="1"/>
  <c r="Y11" i="1" l="1"/>
  <c r="V13" i="1" l="1"/>
  <c r="H5" i="1" l="1"/>
  <c r="H6" i="1"/>
  <c r="H7" i="1"/>
  <c r="H4" i="1"/>
  <c r="F5" i="1"/>
  <c r="F6" i="1"/>
  <c r="P6" i="1" s="1"/>
  <c r="F7" i="1"/>
  <c r="P7" i="1" s="1"/>
  <c r="F4" i="1"/>
  <c r="P4" i="1" s="1"/>
  <c r="E9" i="1"/>
  <c r="R20" i="1" l="1"/>
  <c r="O28" i="1" l="1"/>
  <c r="O29" i="1" s="1"/>
  <c r="H25" i="1"/>
  <c r="M26" i="1"/>
  <c r="O23" i="1"/>
  <c r="O24" i="1" s="1"/>
  <c r="K7" i="1" l="1"/>
  <c r="N7" i="1"/>
  <c r="I23" i="1"/>
  <c r="I24" i="1" s="1"/>
  <c r="K23" i="1"/>
  <c r="K24" i="1" s="1"/>
  <c r="I21" i="1"/>
  <c r="M21" i="1"/>
  <c r="Q7" i="1" l="1"/>
  <c r="R7" i="1" s="1"/>
  <c r="T7" i="1" s="1"/>
  <c r="I25" i="1"/>
  <c r="G9" i="1"/>
  <c r="N4" i="1"/>
  <c r="N5" i="1"/>
  <c r="N6" i="1"/>
  <c r="P9" i="1" l="1"/>
  <c r="K7" i="4" s="1"/>
  <c r="K8" i="4" s="1"/>
  <c r="K5" i="1"/>
  <c r="Q5" i="1" s="1"/>
  <c r="R5" i="1" s="1"/>
  <c r="K6" i="1"/>
  <c r="Q6" i="1" s="1"/>
  <c r="R6" i="1" s="1"/>
  <c r="T6" i="1" s="1"/>
  <c r="K4" i="1"/>
  <c r="Q4" i="1" s="1"/>
  <c r="R4" i="1" s="1"/>
  <c r="R9" i="1" l="1"/>
  <c r="Q9" i="1"/>
  <c r="T5" i="1"/>
  <c r="T4" i="1"/>
  <c r="T9" i="1" l="1"/>
</calcChain>
</file>

<file path=xl/sharedStrings.xml><?xml version="1.0" encoding="utf-8"?>
<sst xmlns="http://schemas.openxmlformats.org/spreadsheetml/2006/main" count="59" uniqueCount="46">
  <si>
    <t>SR. No.</t>
  </si>
  <si>
    <t>Floor</t>
  </si>
  <si>
    <t>Particular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</si>
  <si>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</si>
  <si>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</si>
  <si>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</si>
  <si>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</si>
  <si>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</si>
  <si>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</si>
  <si>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</si>
  <si>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</si>
  <si>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</si>
  <si>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</si>
  <si>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</si>
  <si>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Building</t>
  </si>
  <si>
    <t>RCC framed structure</t>
  </si>
  <si>
    <t>First Floor</t>
  </si>
  <si>
    <t>Second Floor</t>
  </si>
  <si>
    <t>TOTAL</t>
  </si>
  <si>
    <t>Remarks:</t>
  </si>
  <si>
    <t>3. The valuation is done by considering the depreciated replacement cost approach.</t>
  </si>
  <si>
    <t>Detoriation</t>
  </si>
  <si>
    <t>2.The subject property is constructed with RCC technology.</t>
  </si>
  <si>
    <t>Third Floor</t>
  </si>
  <si>
    <t>Year of Construction (as per sale deed)</t>
  </si>
  <si>
    <t>Stilt Floor</t>
  </si>
  <si>
    <t xml:space="preserve"> Constructed Covered area  in sq.mtr (As per survey)</t>
  </si>
  <si>
    <t xml:space="preserve"> Constructed Covered area  in sq.ft (As per survey)</t>
  </si>
  <si>
    <t>1. All the details pertaing to the building area statement such as area, floor, etc has been taken from the approved building plan shared by  the bank and site survey.</t>
  </si>
  <si>
    <t>Permissible covered Area  as per sanctioned plan 
(in sq ft)</t>
  </si>
  <si>
    <t>Permissible Area  as per sanctioned plan 
(in sq mtr)</t>
  </si>
  <si>
    <t>CAPTAIN. RAJESH NEGI, LOCATED AT:-  KHATA/KHATAUNI 1752(FASLI YEAR 1417 TO 1422) KHASRA NO.900 CHA (OLD KHASRA – 680/1 &amp; 683/1), MAUZA MAJRA, PARGANA KENDRIYADUN, DISTRICT DEHRADUN, UTTRAKHAND</t>
  </si>
  <si>
    <t>4.We have considered the year of construction as per the information provided to us by the coordinating person during the survey.</t>
  </si>
  <si>
    <t>5.We have considered the permissible area according to approved building plan dated 09/04/2021.</t>
  </si>
  <si>
    <t xml:space="preserve">6.During the time of our site visit built up area of the subject property is lesser than the area approved in the sanctioned plan in such a scenario we have considered the lesser area for the purpose of our valuation assessment. </t>
  </si>
  <si>
    <t xml:space="preserve">7. The Ground coverage of the building is 49.61% as per the approved building plan. 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</si>
  <si>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</si>
  <si>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</si>
  <si>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</si>
  <si>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</si>
  <si>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</si>
  <si>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</si>
  <si>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</si>
  <si>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land</t>
  </si>
  <si>
    <t>building</t>
  </si>
  <si>
    <t>boundary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</si>
</sst>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.0_ ;_ * \-#,##0.0_ ;_ * &quot;-&quot;??_ ;_ @_ "/>
    <numFmt numFmtId="165" formatCode="0.0000"/>
    <numFmt numFmtId="166" formatCode="_ &quot;₹&quot;\ * #,##0_ ;_ &quot;₹&quot;\ * \-#,##0_ ;_ &quot;₹&quot;\ * &quot;-&quot;??_ ;_ @_ 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4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6" fontId="2" fillId="0" borderId="1" xfId="4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43" fontId="0" fillId="0" borderId="0" xfId="1" applyNumberFormat="1" applyFont="1"/>
    <xf numFmtId="44" fontId="0" fillId="0" borderId="0" xfId="0" applyNumberFormat="1"/>
    <xf numFmtId="2" fontId="0" fillId="0" borderId="0" xfId="0" applyNumberFormat="1"/>
    <xf numFmtId="0" fontId="0" fillId="0" borderId="1" xfId="0" applyBorder="1"/>
    <xf numFmtId="16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1" xfId="0" applyNumberFormat="1" applyBorder="1"/>
    <xf numFmtId="166" fontId="1" fillId="0" borderId="1" xfId="4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43" fontId="2" fillId="0" borderId="1" xfId="1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5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0" xfId="0" applyNumberFormat="1"/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 wrapText="1"/>
    </xf>
  </cellXfs>
  <cellStyles count="6">
    <cellStyle name="40% - Accent1" xfId="3" builtinId="31"/>
    <cellStyle name="Comma" xfId="1" builtinId="3"/>
    <cellStyle name="Currency" xfId="5" builtinId="4"/>
    <cellStyle name="Currency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showGridLines="0" topLeftCell="E1" workbookViewId="0">
      <selection activeCell="Y12" sqref="Y12"/>
    </sheetView>
  </sheetViews>
  <sheetFormatPr defaultRowHeight="15" x14ac:dyDescent="0.25"/>
  <cols>
    <col min="1" max="1" width="4.140625" customWidth="1"/>
    <col min="2" max="2" width="12.42578125" customWidth="1"/>
    <col min="3" max="3" width="9.42578125" bestFit="1" customWidth="1"/>
    <col min="4" max="4" width="20" bestFit="1" customWidth="1"/>
    <col min="5" max="6" width="15.42578125" style="3" bestFit="1" customWidth="1"/>
    <col min="7" max="7" width="19" style="3" bestFit="1" customWidth="1"/>
    <col min="8" max="8" width="15.5703125" bestFit="1" customWidth="1"/>
    <col min="9" max="9" width="12.28515625" bestFit="1" customWidth="1"/>
    <col min="10" max="10" width="9.5703125" bestFit="1" customWidth="1"/>
    <col min="11" max="12" width="10.42578125" bestFit="1" customWidth="1"/>
    <col min="13" max="13" width="12" bestFit="1" customWidth="1"/>
    <col min="14" max="14" width="12.42578125" bestFit="1" customWidth="1"/>
    <col min="15" max="15" width="12" bestFit="1" customWidth="1"/>
    <col min="16" max="16" width="12.7109375" bestFit="1" customWidth="1"/>
    <col min="17" max="17" width="12.42578125" bestFit="1" customWidth="1"/>
    <col min="18" max="18" width="11.5703125" bestFit="1" customWidth="1"/>
    <col min="19" max="19" width="11.140625" bestFit="1" customWidth="1"/>
    <col min="20" max="20" width="13.140625" bestFit="1" customWidth="1"/>
    <col min="21" max="21" width="9" bestFit="1" customWidth="1"/>
    <col min="22" max="22" width="8" bestFit="1" customWidth="1"/>
    <col min="25" max="25" width="6" bestFit="1" customWidth="1"/>
  </cols>
  <sheetData>
    <row r="1" spans="1:25" s="3" customFormat="1" ht="15" customHeight="1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5" ht="27.7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5" ht="75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26</v>
      </c>
      <c r="F3" s="5" t="s">
        <v>27</v>
      </c>
      <c r="G3" s="5" t="s">
        <v>30</v>
      </c>
      <c r="H3" s="5" t="s">
        <v>29</v>
      </c>
      <c r="I3" s="5" t="s">
        <v>24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  <c r="S3" s="6" t="s">
        <v>21</v>
      </c>
      <c r="T3" s="5" t="s">
        <v>13</v>
      </c>
    </row>
    <row r="4" spans="1:25" x14ac:dyDescent="0.25">
      <c r="A4" s="7">
        <v>1</v>
      </c>
      <c r="B4" s="4" t="s">
        <v>25</v>
      </c>
      <c r="C4" s="4" t="s">
        <v>14</v>
      </c>
      <c r="D4" s="4" t="s">
        <v>15</v>
      </c>
      <c r="E4" s="21">
        <v>138.91999999999999</v>
      </c>
      <c r="F4" s="8">
        <f>E4*10.764</f>
        <v>1495.3348799999999</v>
      </c>
      <c r="G4" s="19">
        <v>138.91999999999999</v>
      </c>
      <c r="H4" s="23">
        <f>G4*10.764</f>
        <v>1495.3348799999999</v>
      </c>
      <c r="I4" s="4">
        <v>2022</v>
      </c>
      <c r="J4" s="4">
        <v>2022</v>
      </c>
      <c r="K4" s="4">
        <f>J4-I4</f>
        <v>0</v>
      </c>
      <c r="L4" s="4">
        <v>60</v>
      </c>
      <c r="M4" s="9">
        <v>0.05</v>
      </c>
      <c r="N4" s="10">
        <f>(1-M4)/L4</f>
        <v>1.5833333333333331E-2</v>
      </c>
      <c r="O4" s="11">
        <v>1200</v>
      </c>
      <c r="P4" s="24">
        <f>O4*F4</f>
        <v>1794401.8559999999</v>
      </c>
      <c r="Q4" s="11">
        <f>P4*N4*K4</f>
        <v>0</v>
      </c>
      <c r="R4" s="11">
        <f>MAX(P4-Q4,0)</f>
        <v>1794401.8559999999</v>
      </c>
      <c r="S4" s="12">
        <v>0</v>
      </c>
      <c r="T4" s="11">
        <f>IF(R4&gt;M4*P4,R4*(1-S4),P4*M4)</f>
        <v>1794401.8559999999</v>
      </c>
      <c r="U4" s="16"/>
      <c r="Y4">
        <v>2.29</v>
      </c>
    </row>
    <row r="5" spans="1:25" x14ac:dyDescent="0.25">
      <c r="A5" s="7">
        <v>2</v>
      </c>
      <c r="B5" s="4" t="s">
        <v>16</v>
      </c>
      <c r="C5" s="4" t="s">
        <v>14</v>
      </c>
      <c r="D5" s="4" t="s">
        <v>15</v>
      </c>
      <c r="E5" s="21">
        <v>124.52</v>
      </c>
      <c r="F5" s="8">
        <f t="shared" ref="F5:F7" si="0">E5*10.764</f>
        <v>1340.3332799999998</v>
      </c>
      <c r="G5" s="20">
        <v>124.52</v>
      </c>
      <c r="H5" s="23">
        <f t="shared" ref="H5:H7" si="1">G5*10.764</f>
        <v>1340.3332799999998</v>
      </c>
      <c r="I5" s="4">
        <v>2022</v>
      </c>
      <c r="J5" s="4">
        <v>2022</v>
      </c>
      <c r="K5" s="4">
        <f t="shared" ref="K5:K6" si="2">J5-I5</f>
        <v>0</v>
      </c>
      <c r="L5" s="4">
        <v>60</v>
      </c>
      <c r="M5" s="9">
        <v>0.05</v>
      </c>
      <c r="N5" s="10">
        <f t="shared" ref="N5:N6" si="3">(1-M5)/L5</f>
        <v>1.5833333333333331E-2</v>
      </c>
      <c r="O5" s="11">
        <v>1500</v>
      </c>
      <c r="P5" s="24">
        <f>O5*F5</f>
        <v>2010499.9199999997</v>
      </c>
      <c r="Q5" s="11">
        <f t="shared" ref="Q5:Q6" si="4">P5*N5*K5</f>
        <v>0</v>
      </c>
      <c r="R5" s="11">
        <f t="shared" ref="R5:R6" si="5">MAX(P5-Q5,0)</f>
        <v>2010499.9199999997</v>
      </c>
      <c r="S5" s="12">
        <v>0</v>
      </c>
      <c r="T5" s="11">
        <f t="shared" ref="T5:T6" si="6">IF(R5&gt;M5*P5,R5*(1-S5),P5*M5)</f>
        <v>2010499.9199999997</v>
      </c>
      <c r="U5" s="16"/>
      <c r="Y5">
        <v>5.0199999999999996</v>
      </c>
    </row>
    <row r="6" spans="1:25" x14ac:dyDescent="0.25">
      <c r="A6" s="7">
        <v>3</v>
      </c>
      <c r="B6" s="4" t="s">
        <v>17</v>
      </c>
      <c r="C6" s="4" t="s">
        <v>14</v>
      </c>
      <c r="D6" s="4" t="s">
        <v>15</v>
      </c>
      <c r="E6" s="21">
        <v>124.52</v>
      </c>
      <c r="F6" s="8">
        <f t="shared" si="0"/>
        <v>1340.3332799999998</v>
      </c>
      <c r="G6" s="20">
        <v>124.52</v>
      </c>
      <c r="H6" s="23">
        <f t="shared" si="1"/>
        <v>1340.3332799999998</v>
      </c>
      <c r="I6" s="4">
        <v>2022</v>
      </c>
      <c r="J6" s="4">
        <v>2022</v>
      </c>
      <c r="K6" s="4">
        <f t="shared" si="2"/>
        <v>0</v>
      </c>
      <c r="L6" s="4">
        <v>60</v>
      </c>
      <c r="M6" s="9">
        <v>0.05</v>
      </c>
      <c r="N6" s="10">
        <f t="shared" si="3"/>
        <v>1.5833333333333331E-2</v>
      </c>
      <c r="O6" s="11">
        <v>1500</v>
      </c>
      <c r="P6" s="24">
        <f t="shared" ref="P6:P7" si="7">O6*F6</f>
        <v>2010499.9199999997</v>
      </c>
      <c r="Q6" s="11">
        <f t="shared" si="4"/>
        <v>0</v>
      </c>
      <c r="R6" s="11">
        <f t="shared" si="5"/>
        <v>2010499.9199999997</v>
      </c>
      <c r="S6" s="12">
        <v>0</v>
      </c>
      <c r="T6" s="11">
        <f t="shared" si="6"/>
        <v>2010499.9199999997</v>
      </c>
      <c r="U6" s="16"/>
      <c r="Y6">
        <v>7.08</v>
      </c>
    </row>
    <row r="7" spans="1:25" s="3" customFormat="1" x14ac:dyDescent="0.25">
      <c r="A7" s="7">
        <v>4</v>
      </c>
      <c r="B7" s="4" t="s">
        <v>23</v>
      </c>
      <c r="C7" s="4" t="s">
        <v>14</v>
      </c>
      <c r="D7" s="4" t="s">
        <v>15</v>
      </c>
      <c r="E7" s="21">
        <v>62</v>
      </c>
      <c r="F7" s="8">
        <f t="shared" si="0"/>
        <v>667.36799999999994</v>
      </c>
      <c r="G7" s="20">
        <v>124.52</v>
      </c>
      <c r="H7" s="23">
        <f t="shared" si="1"/>
        <v>1340.3332799999998</v>
      </c>
      <c r="I7" s="4">
        <v>2022</v>
      </c>
      <c r="J7" s="4">
        <v>2022</v>
      </c>
      <c r="K7" s="4">
        <f t="shared" ref="K7" si="8">J7-I7</f>
        <v>0</v>
      </c>
      <c r="L7" s="4">
        <v>60</v>
      </c>
      <c r="M7" s="9">
        <v>0.05</v>
      </c>
      <c r="N7" s="10">
        <f t="shared" ref="N7" si="9">(1-M7)/L7</f>
        <v>1.5833333333333331E-2</v>
      </c>
      <c r="O7" s="11">
        <v>1500</v>
      </c>
      <c r="P7" s="24">
        <f t="shared" si="7"/>
        <v>1001051.9999999999</v>
      </c>
      <c r="Q7" s="11">
        <f t="shared" ref="Q7" si="10">P7*N7*K7</f>
        <v>0</v>
      </c>
      <c r="R7" s="11">
        <f t="shared" ref="R7" si="11">MAX(P7-Q7,0)</f>
        <v>1001051.9999999999</v>
      </c>
      <c r="S7" s="12">
        <v>0</v>
      </c>
      <c r="T7" s="11">
        <f>IF(R7&gt;M7*P7,R7*(1-S7),P7*M7)</f>
        <v>1001051.9999999999</v>
      </c>
      <c r="U7" s="16"/>
      <c r="Y7" s="3">
        <v>21.22</v>
      </c>
    </row>
    <row r="8" spans="1:25" s="3" customFormat="1" x14ac:dyDescent="0.25">
      <c r="A8" s="7"/>
      <c r="B8" s="4"/>
      <c r="C8" s="4"/>
      <c r="D8" s="4"/>
      <c r="E8" s="21"/>
      <c r="F8" s="8"/>
      <c r="G8" s="20"/>
      <c r="H8" s="23"/>
      <c r="I8" s="4"/>
      <c r="J8" s="4"/>
      <c r="K8" s="4"/>
      <c r="L8" s="4"/>
      <c r="M8" s="9"/>
      <c r="N8" s="10"/>
      <c r="O8" s="11"/>
      <c r="P8" s="24"/>
      <c r="Q8" s="11"/>
      <c r="R8" s="11"/>
      <c r="S8" s="12"/>
      <c r="T8" s="11"/>
      <c r="U8" s="16"/>
    </row>
    <row r="9" spans="1:25" x14ac:dyDescent="0.25">
      <c r="A9" s="44" t="s">
        <v>18</v>
      </c>
      <c r="B9" s="44"/>
      <c r="C9" s="44"/>
      <c r="D9" s="44"/>
      <c r="E9" s="22">
        <f>SUM(E4:E7)</f>
        <v>449.96</v>
      </c>
      <c r="F9" s="8"/>
      <c r="G9" s="26">
        <f>SUM(G4:G7)</f>
        <v>512.48</v>
      </c>
      <c r="H9" s="18"/>
      <c r="I9" s="44"/>
      <c r="J9" s="44"/>
      <c r="K9" s="44"/>
      <c r="L9" s="44"/>
      <c r="M9" s="44"/>
      <c r="N9" s="44"/>
      <c r="O9" s="44"/>
      <c r="P9" s="13">
        <f>SUM(P4:P7)</f>
        <v>6816453.6959999995</v>
      </c>
      <c r="Q9" s="13">
        <f>SUM(Q4:Q7)</f>
        <v>0</v>
      </c>
      <c r="R9" s="13">
        <f>SUM(R4:R7)</f>
        <v>6816453.6959999995</v>
      </c>
      <c r="S9" s="14"/>
      <c r="T9" s="13">
        <f>SUM(T4:T7)</f>
        <v>6816453.6959999995</v>
      </c>
      <c r="U9" s="16"/>
      <c r="V9" s="16"/>
      <c r="Y9">
        <v>17.260000000000002</v>
      </c>
    </row>
    <row r="10" spans="1:25" x14ac:dyDescent="0.25">
      <c r="A10" s="49" t="s">
        <v>19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V10" s="16"/>
      <c r="Y10">
        <v>14.28</v>
      </c>
    </row>
    <row r="11" spans="1:25" x14ac:dyDescent="0.25">
      <c r="A11" s="45" t="s">
        <v>28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Y11">
        <f>SUM(Y4:Y10)</f>
        <v>67.150000000000006</v>
      </c>
    </row>
    <row r="12" spans="1:25" s="3" customFormat="1" x14ac:dyDescent="0.25">
      <c r="A12" s="46" t="s">
        <v>22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8"/>
      <c r="Y12" s="3">
        <f>Y11*3.28</f>
        <v>220.25200000000001</v>
      </c>
    </row>
    <row r="13" spans="1:25" x14ac:dyDescent="0.25">
      <c r="A13" s="45" t="s">
        <v>20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V13">
        <f>12000*449.96</f>
        <v>5399520</v>
      </c>
    </row>
    <row r="14" spans="1:25" s="3" customFormat="1" x14ac:dyDescent="0.25">
      <c r="A14" s="43" t="s">
        <v>32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5" x14ac:dyDescent="0.25">
      <c r="A15" s="43" t="s">
        <v>33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5" s="3" customFormat="1" x14ac:dyDescent="0.25">
      <c r="A16" s="37" t="s">
        <v>34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</row>
    <row r="17" spans="1:20" s="3" customFormat="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</row>
    <row r="18" spans="1:20" x14ac:dyDescent="0.25">
      <c r="A18" s="43" t="s">
        <v>35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1:20" x14ac:dyDescent="0.25">
      <c r="A19" s="25"/>
    </row>
    <row r="20" spans="1:20" x14ac:dyDescent="0.25">
      <c r="J20" s="1"/>
      <c r="K20">
        <v>83</v>
      </c>
      <c r="L20" s="15"/>
      <c r="M20">
        <v>350</v>
      </c>
      <c r="R20">
        <f>83.612*56640</f>
        <v>4735783.68</v>
      </c>
    </row>
    <row r="21" spans="1:20" x14ac:dyDescent="0.25">
      <c r="I21">
        <f>3320/10.764</f>
        <v>308.4355258268302</v>
      </c>
      <c r="J21" s="2"/>
      <c r="M21">
        <f>M20*K20/100</f>
        <v>290.5</v>
      </c>
    </row>
    <row r="23" spans="1:20" x14ac:dyDescent="0.25">
      <c r="E23" s="3">
        <v>124.52</v>
      </c>
      <c r="I23">
        <f>83*350/100</f>
        <v>290.5</v>
      </c>
      <c r="K23">
        <f>(350*83/100)*9</f>
        <v>2614.5</v>
      </c>
      <c r="O23">
        <f>100*9</f>
        <v>900</v>
      </c>
    </row>
    <row r="24" spans="1:20" x14ac:dyDescent="0.25">
      <c r="E24" s="3">
        <v>14.4</v>
      </c>
      <c r="I24">
        <f>I23*10.764</f>
        <v>3126.942</v>
      </c>
      <c r="K24">
        <f>K23/3</f>
        <v>871.5</v>
      </c>
      <c r="O24">
        <f>O23/10.764</f>
        <v>83.612040133779274</v>
      </c>
    </row>
    <row r="25" spans="1:20" x14ac:dyDescent="0.25">
      <c r="E25" s="3">
        <f>SUM(E23:E24)</f>
        <v>138.91999999999999</v>
      </c>
      <c r="H25">
        <f>3127/10.74</f>
        <v>291.15456238361264</v>
      </c>
      <c r="I25" s="17" t="e">
        <f>#REF!-I24</f>
        <v>#REF!</v>
      </c>
    </row>
    <row r="26" spans="1:20" x14ac:dyDescent="0.25">
      <c r="M26">
        <f>3127/10.764</f>
        <v>290.50538833147533</v>
      </c>
    </row>
    <row r="28" spans="1:20" x14ac:dyDescent="0.25">
      <c r="O28">
        <f>90*3.5</f>
        <v>315</v>
      </c>
    </row>
    <row r="29" spans="1:20" x14ac:dyDescent="0.25">
      <c r="O29">
        <f>O28*9</f>
        <v>2835</v>
      </c>
    </row>
  </sheetData>
  <mergeCells count="11">
    <mergeCell ref="A1:T2"/>
    <mergeCell ref="A16:T17"/>
    <mergeCell ref="A18:T18"/>
    <mergeCell ref="A9:D9"/>
    <mergeCell ref="I9:O9"/>
    <mergeCell ref="A11:T11"/>
    <mergeCell ref="A12:T12"/>
    <mergeCell ref="A10:T10"/>
    <mergeCell ref="A13:T13"/>
    <mergeCell ref="A14:T14"/>
    <mergeCell ref="A15:T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C8" sqref="C8"/>
    </sheetView>
  </sheetViews>
  <sheetFormatPr defaultRowHeight="15" x14ac:dyDescent="0.25"/>
  <cols>
    <col min="1" max="1" width="9" customWidth="1"/>
    <col min="2" max="2" width="10.42578125" customWidth="1"/>
    <col min="3" max="3" width="10" customWidth="1"/>
    <col min="4" max="4" width="12" customWidth="1"/>
    <col min="5" max="5" width="10.42578125" customWidth="1"/>
    <col min="6" max="6" width="7.7109375" hidden="1" customWidth="1"/>
    <col min="7" max="7" width="9" hidden="1" customWidth="1"/>
    <col min="8" max="8" width="10.28515625" customWidth="1"/>
    <col min="9" max="9" width="10.7109375" customWidth="1"/>
    <col min="10" max="10" width="9" hidden="1" customWidth="1"/>
    <col min="11" max="11" width="13.28515625" customWidth="1"/>
    <col min="12" max="12" width="8.7109375" hidden="1" customWidth="1"/>
    <col min="13" max="13" width="12.5703125" customWidth="1"/>
  </cols>
  <sheetData>
    <row r="1" spans="1:19" ht="15.75" customHeight="1" x14ac:dyDescent="0.2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9" ht="91.5" x14ac:dyDescent="0.25">
      <c r="A2" s="27" t="s">
        <v>42</v>
      </c>
      <c r="B2" s="27" t="s">
        <v>37</v>
      </c>
      <c r="C2" s="27" t="s">
        <v>4</v>
      </c>
      <c r="D2" s="27" t="s">
        <v>38</v>
      </c>
      <c r="E2" s="27" t="s">
        <v>39</v>
      </c>
      <c r="F2" s="27" t="s">
        <v>7</v>
      </c>
      <c r="G2" s="27" t="s">
        <v>8</v>
      </c>
      <c r="H2" s="27" t="s">
        <v>40</v>
      </c>
      <c r="I2" s="27" t="s">
        <v>10</v>
      </c>
      <c r="J2" s="27" t="s">
        <v>11</v>
      </c>
      <c r="K2" s="27" t="s">
        <v>12</v>
      </c>
      <c r="L2" s="27" t="s">
        <v>41</v>
      </c>
      <c r="M2" s="27" t="s">
        <v>13</v>
      </c>
    </row>
    <row r="3" spans="1:19" x14ac:dyDescent="0.25">
      <c r="A3" s="28">
        <v>220</v>
      </c>
      <c r="B3" s="29">
        <v>2022</v>
      </c>
      <c r="C3" s="29">
        <v>2022</v>
      </c>
      <c r="D3" s="29">
        <f>C3-B3</f>
        <v>0</v>
      </c>
      <c r="E3" s="29">
        <v>35</v>
      </c>
      <c r="F3" s="30">
        <v>0.1</v>
      </c>
      <c r="G3" s="31">
        <f>(1-F3)/E3</f>
        <v>2.5714285714285714E-2</v>
      </c>
      <c r="H3" s="32">
        <v>1500</v>
      </c>
      <c r="I3" s="32">
        <f>H3*A3</f>
        <v>330000</v>
      </c>
      <c r="J3" s="32">
        <f>I3*G3*D3</f>
        <v>0</v>
      </c>
      <c r="K3" s="32">
        <f>MAX(I3-J3,0)</f>
        <v>330000</v>
      </c>
      <c r="L3" s="33">
        <v>0</v>
      </c>
      <c r="M3" s="32">
        <f>IF(K3&gt;F3*I3,K3*(1-L3),I3*F3)</f>
        <v>330000</v>
      </c>
    </row>
    <row r="6" spans="1:19" x14ac:dyDescent="0.25">
      <c r="K6" s="34">
        <v>220000</v>
      </c>
      <c r="N6">
        <v>3.28</v>
      </c>
    </row>
    <row r="7" spans="1:19" x14ac:dyDescent="0.25">
      <c r="K7">
        <f>'working of building'!P9</f>
        <v>6816453.6959999995</v>
      </c>
      <c r="N7">
        <v>5000</v>
      </c>
      <c r="S7">
        <v>280</v>
      </c>
    </row>
    <row r="8" spans="1:19" x14ac:dyDescent="0.25">
      <c r="K8" s="34">
        <f>SUM(K6:K7)</f>
        <v>7036453.6959999995</v>
      </c>
      <c r="N8">
        <f>N7/N6</f>
        <v>1524.3902439024391</v>
      </c>
      <c r="P8">
        <v>449.96</v>
      </c>
      <c r="S8">
        <f>S7*1.196</f>
        <v>334.88</v>
      </c>
    </row>
    <row r="9" spans="1:19" x14ac:dyDescent="0.25">
      <c r="P9">
        <f>P8*10.764</f>
        <v>4843.3694399999995</v>
      </c>
      <c r="S9">
        <f>S8*36000</f>
        <v>12055680</v>
      </c>
    </row>
    <row r="11" spans="1:19" x14ac:dyDescent="0.25">
      <c r="K11">
        <v>20600000</v>
      </c>
      <c r="M11">
        <v>206</v>
      </c>
    </row>
    <row r="12" spans="1:19" x14ac:dyDescent="0.25">
      <c r="K12">
        <f>K11*0.85</f>
        <v>17510000</v>
      </c>
      <c r="M12">
        <f>M11*0.85</f>
        <v>175.1</v>
      </c>
      <c r="O12">
        <f>1-10691520/20600000</f>
        <v>0.48099417475728157</v>
      </c>
      <c r="S12">
        <v>280</v>
      </c>
    </row>
    <row r="13" spans="1:19" x14ac:dyDescent="0.25">
      <c r="K13">
        <f>K11*0.75</f>
        <v>15450000</v>
      </c>
      <c r="S13">
        <v>18000</v>
      </c>
    </row>
    <row r="14" spans="1:19" x14ac:dyDescent="0.25">
      <c r="S14">
        <f>S13*S12</f>
        <v>5040000</v>
      </c>
    </row>
    <row r="15" spans="1:19" x14ac:dyDescent="0.25">
      <c r="S15">
        <f>S14*1.05</f>
        <v>5292000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L18"/>
  <sheetViews>
    <sheetView tabSelected="1" workbookViewId="0">
      <selection activeCell="J18" sqref="J18"/>
    </sheetView>
  </sheetViews>
  <sheetFormatPr defaultRowHeight="15" x14ac:dyDescent="0.25"/>
  <cols>
    <col min="5" max="5" width="13.7109375" bestFit="1" customWidth="1"/>
  </cols>
  <sheetData>
    <row r="5" spans="5:12" x14ac:dyDescent="0.25">
      <c r="E5" t="s">
        <v>43</v>
      </c>
      <c r="F5">
        <v>12055680</v>
      </c>
    </row>
    <row r="6" spans="5:12" x14ac:dyDescent="0.25">
      <c r="E6" t="s">
        <v>44</v>
      </c>
      <c r="F6">
        <v>6816454</v>
      </c>
      <c r="H6">
        <f>F6+F7</f>
        <v>7146454</v>
      </c>
      <c r="L6">
        <v>334.88</v>
      </c>
    </row>
    <row r="7" spans="5:12" x14ac:dyDescent="0.25">
      <c r="E7" t="s">
        <v>45</v>
      </c>
      <c r="F7">
        <v>330000</v>
      </c>
      <c r="L7">
        <v>36000</v>
      </c>
    </row>
    <row r="8" spans="5:12" x14ac:dyDescent="0.25">
      <c r="F8">
        <f>SUM(F5:F7)</f>
        <v>19202134</v>
      </c>
      <c r="L8">
        <f>L7*L6</f>
        <v>12055680</v>
      </c>
    </row>
    <row r="9" spans="5:12" x14ac:dyDescent="0.25">
      <c r="H9">
        <v>19600000</v>
      </c>
    </row>
    <row r="10" spans="5:12" x14ac:dyDescent="0.25">
      <c r="H10">
        <f>H9*0.85</f>
        <v>16660000</v>
      </c>
    </row>
    <row r="11" spans="5:12" x14ac:dyDescent="0.25">
      <c r="H11">
        <f>H9*0.75</f>
        <v>14700000</v>
      </c>
    </row>
    <row r="16" spans="5:12" x14ac:dyDescent="0.25">
      <c r="J16">
        <v>334.88</v>
      </c>
    </row>
    <row r="17" spans="10:10" x14ac:dyDescent="0.25">
      <c r="J17">
        <v>36000</v>
      </c>
    </row>
    <row r="18" spans="10:10" x14ac:dyDescent="0.25">
      <c r="J18">
        <f>J17*J16</f>
        <v>12055680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 of building</vt:lpstr>
      <vt:lpstr>Boundary wall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2022-07-22T06:40:54Z</dcterms:created>
  <dcterms:modified xsi:type="dcterms:W3CDTF">2022-08-23T10:58:12Z</dcterms:modified>
</cp:coreProperties>
</file>