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Ashish Sawe\"/>
    </mc:Choice>
  </mc:AlternateContent>
  <bookViews>
    <workbookView xWindow="-120" yWindow="-120" windowWidth="24240" windowHeight="13140" activeTab="1"/>
  </bookViews>
  <sheets>
    <sheet name="Assumptions" sheetId="2" r:id="rId1"/>
    <sheet name="DCF for Land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2" l="1"/>
  <c r="F32" i="2"/>
  <c r="D32" i="2"/>
  <c r="D31" i="2"/>
  <c r="E31" i="2" s="1"/>
  <c r="F31" i="2" s="1"/>
  <c r="D36" i="2"/>
  <c r="D35" i="2"/>
  <c r="E35" i="2" s="1"/>
  <c r="F35" i="2" s="1"/>
  <c r="G35" i="2" s="1"/>
  <c r="C26" i="1" l="1"/>
  <c r="K16" i="2"/>
  <c r="C24" i="2"/>
  <c r="D24" i="2" s="1"/>
  <c r="E24" i="2" s="1"/>
  <c r="F24" i="2" s="1"/>
  <c r="H7" i="1"/>
  <c r="H6" i="1"/>
  <c r="E36" i="2"/>
  <c r="F36" i="2" s="1"/>
  <c r="G36" i="2" s="1"/>
  <c r="H16" i="2"/>
  <c r="H15" i="2"/>
  <c r="H12" i="2"/>
  <c r="H11" i="2"/>
  <c r="G19" i="1"/>
  <c r="O9" i="1"/>
  <c r="G14" i="1" s="1"/>
  <c r="N9" i="1"/>
  <c r="F14" i="1" s="1"/>
  <c r="E6" i="1" l="1"/>
  <c r="F6" i="1" s="1"/>
  <c r="K22" i="1" l="1"/>
  <c r="M22" i="1"/>
  <c r="L22" i="1"/>
  <c r="N22" i="1"/>
  <c r="G6" i="1"/>
  <c r="D9" i="1"/>
  <c r="XEW9" i="1"/>
  <c r="E7" i="1"/>
  <c r="C9" i="1"/>
  <c r="K7" i="1" l="1"/>
  <c r="O11" i="1"/>
  <c r="K11" i="1"/>
  <c r="M11" i="1"/>
  <c r="N11" i="1"/>
  <c r="M7" i="1"/>
  <c r="L7" i="1"/>
  <c r="L11" i="1"/>
  <c r="F7" i="1"/>
  <c r="E9" i="1"/>
  <c r="L23" i="1" l="1"/>
  <c r="L25" i="1" s="1"/>
  <c r="D19" i="1" s="1"/>
  <c r="D20" i="1" s="1"/>
  <c r="M23" i="1"/>
  <c r="M25" i="1" s="1"/>
  <c r="E19" i="1" s="1"/>
  <c r="E20" i="1" s="1"/>
  <c r="K23" i="1"/>
  <c r="K25" i="1" s="1"/>
  <c r="C19" i="1" s="1"/>
  <c r="C20" i="1" s="1"/>
  <c r="N23" i="1"/>
  <c r="N25" i="1" s="1"/>
  <c r="F19" i="1" s="1"/>
  <c r="F20" i="1" s="1"/>
  <c r="G7" i="1"/>
  <c r="G9" i="1" s="1"/>
  <c r="F9" i="1"/>
  <c r="O12" i="1" l="1"/>
  <c r="K8" i="1"/>
  <c r="K9" i="1" s="1"/>
  <c r="C14" i="1" s="1"/>
  <c r="K12" i="1"/>
  <c r="K13" i="1" s="1"/>
  <c r="C15" i="1" s="1"/>
  <c r="L8" i="1"/>
  <c r="L12" i="1"/>
  <c r="L13" i="1" s="1"/>
  <c r="D15" i="1" s="1"/>
  <c r="M8" i="1"/>
  <c r="N12" i="1"/>
  <c r="M12" i="1"/>
  <c r="M13" i="1" s="1"/>
  <c r="E15" i="1" s="1"/>
  <c r="K15" i="1" l="1"/>
  <c r="M9" i="1"/>
  <c r="O13" i="1"/>
  <c r="N13" i="1"/>
  <c r="L9" i="1"/>
  <c r="H19" i="1"/>
  <c r="D22" i="1"/>
  <c r="E22" i="1"/>
  <c r="C17" i="1"/>
  <c r="D14" i="1" l="1"/>
  <c r="D17" i="1" s="1"/>
  <c r="D24" i="1" s="1"/>
  <c r="L15" i="1"/>
  <c r="F15" i="1"/>
  <c r="F17" i="1" s="1"/>
  <c r="N15" i="1"/>
  <c r="G15" i="1"/>
  <c r="G17" i="1" s="1"/>
  <c r="O15" i="1"/>
  <c r="E14" i="1"/>
  <c r="E17" i="1" s="1"/>
  <c r="E24" i="1" s="1"/>
  <c r="M15" i="1"/>
  <c r="C22" i="1"/>
  <c r="C24" i="1" s="1"/>
  <c r="G22" i="1"/>
  <c r="G24" i="1" s="1"/>
  <c r="F22" i="1"/>
  <c r="H15" i="1" l="1"/>
  <c r="H14" i="1"/>
  <c r="F24" i="1"/>
  <c r="C27" i="1" s="1"/>
  <c r="C28" i="1" s="1"/>
  <c r="C29" i="1" s="1"/>
  <c r="H20" i="1"/>
  <c r="H17" i="1" l="1"/>
  <c r="H22" i="1"/>
  <c r="H24" i="1" s="1"/>
</calcChain>
</file>

<file path=xl/sharedStrings.xml><?xml version="1.0" encoding="utf-8"?>
<sst xmlns="http://schemas.openxmlformats.org/spreadsheetml/2006/main" count="123" uniqueCount="72">
  <si>
    <t>Residential Plot Area</t>
  </si>
  <si>
    <t>Commercial Plot Area</t>
  </si>
  <si>
    <t>Year 1</t>
  </si>
  <si>
    <t>Year 2</t>
  </si>
  <si>
    <t>Year 3</t>
  </si>
  <si>
    <t>Year 4</t>
  </si>
  <si>
    <t>Year 5</t>
  </si>
  <si>
    <t>Soft Cost</t>
  </si>
  <si>
    <t>TOTAL</t>
  </si>
  <si>
    <t>Advance Sale Receipts</t>
  </si>
  <si>
    <t>Residential</t>
  </si>
  <si>
    <t>Commercial Bare Shell</t>
  </si>
  <si>
    <t>WACC</t>
  </si>
  <si>
    <t>Particulars</t>
  </si>
  <si>
    <t>NPV</t>
  </si>
  <si>
    <t>Inventory Sale Receipt</t>
  </si>
  <si>
    <t>Residual Value of Land</t>
  </si>
  <si>
    <t>(Projections in Crore)</t>
  </si>
  <si>
    <t>(Amount in Crore)</t>
  </si>
  <si>
    <t>Crore</t>
  </si>
  <si>
    <t>CASH FLOW PROJECTIONS FOR FILE NO. VIS (2022-23)-PL 265-204-389</t>
  </si>
  <si>
    <t>Reduction 
(Sq.ft.)</t>
  </si>
  <si>
    <t>Plot Area
(Sq. ft.)</t>
  </si>
  <si>
    <t>Net Area 
(Sq. ft.)</t>
  </si>
  <si>
    <t>Considered Rate of Sale 
(Rate per Sq. ft.)</t>
  </si>
  <si>
    <t>Salable Area (Sq. Ft.)</t>
  </si>
  <si>
    <t>Builder Profit @ 20%</t>
  </si>
  <si>
    <t>CONSTRUCTION RATE FOR RESIDENTIAL UNIT</t>
  </si>
  <si>
    <t>per Sq. ft.</t>
  </si>
  <si>
    <t>CONSTRUCTION RATE FOR COMMERCIAL UNIT</t>
  </si>
  <si>
    <t>ADVANCE SALE RECEIPTS</t>
  </si>
  <si>
    <t>COMMERCIAL</t>
  </si>
  <si>
    <t>YEAR 1</t>
  </si>
  <si>
    <t>YEAR 2</t>
  </si>
  <si>
    <t>YEAR 3</t>
  </si>
  <si>
    <t>YEAR 4</t>
  </si>
  <si>
    <t>YEAR 5</t>
  </si>
  <si>
    <t>INVENTORY SALE RECEIPTS</t>
  </si>
  <si>
    <t>TOTAL ADVANCE SALE</t>
  </si>
  <si>
    <t>PARTICULARS</t>
  </si>
  <si>
    <t>-</t>
  </si>
  <si>
    <t>RATE ESCALATION</t>
  </si>
  <si>
    <t>CONSTRUCTION RATE</t>
  </si>
  <si>
    <t>RESIDENTIAL</t>
  </si>
  <si>
    <t>TOTAL CONSTRUCTION COST</t>
  </si>
  <si>
    <t>TOTAL SALE REVENUE</t>
  </si>
  <si>
    <t>TOTAL OF ADVANCE SALE</t>
  </si>
  <si>
    <t>TOTAL OF INVENTORY SALE RECEIPTS</t>
  </si>
  <si>
    <t>OUTFLOW (CONSTRUCTION COST)</t>
  </si>
  <si>
    <t>INFLOW (REVENUE RECEIPTS)</t>
  </si>
  <si>
    <t>PROJECTIONS SUMMATION</t>
  </si>
  <si>
    <t>INFLOW ASSUMPTIONS</t>
  </si>
  <si>
    <t>OUTFLOW ASSUMPTIONS</t>
  </si>
  <si>
    <t>ASSUMPTIONS FOR CASH FLOW PROJECTIONS</t>
  </si>
  <si>
    <t>SOFT COST @ %GE OF CONSTRUCTION COST</t>
  </si>
  <si>
    <t>CONSTRUCTION COMPLETION RATE @ %GE OF FAR AREA</t>
  </si>
  <si>
    <t>RESIDENTIAL @ %GE OF SALABLE AREA</t>
  </si>
  <si>
    <t>COMMERCIAL @ %GE OF SALABLE AREA</t>
  </si>
  <si>
    <t>CALCULATION OF WACC</t>
  </si>
  <si>
    <t>WEIGHT OF DEBT</t>
  </si>
  <si>
    <t>WEIGHT OF EQUITY</t>
  </si>
  <si>
    <t>COST OF DEBT</t>
  </si>
  <si>
    <t>COST OF EQUITY</t>
  </si>
  <si>
    <t>TAX RATE</t>
  </si>
  <si>
    <t>Construction Cost (Residential+Commercial)</t>
  </si>
  <si>
    <t>TOTAL INFLOW</t>
  </si>
  <si>
    <t>TOTAL OUTFLOW</t>
  </si>
  <si>
    <t>NET CASH FLOW</t>
  </si>
  <si>
    <t xml:space="preserve">Rs.1600 </t>
  </si>
  <si>
    <t>Rs.1700</t>
  </si>
  <si>
    <t>MARKET PHASING</t>
  </si>
  <si>
    <t>Permissible FAR @ 1.75
(Sq.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</si>
</sst>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₹&quot;\ #,##0.00;[Red]&quot;₹&quot;\ \-#,##0.00"/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6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0.39994506668294322"/>
      </top>
      <bottom style="double">
        <color theme="4" tint="-0.499984740745262"/>
      </bottom>
      <diagonal/>
    </border>
    <border>
      <left/>
      <right/>
      <top style="double">
        <color theme="4" tint="0.3999450666829432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0.39994506668294322"/>
      </top>
      <bottom style="double">
        <color theme="4" tint="-0.49998474074526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double">
        <color theme="4" tint="0.79998168889431442"/>
      </left>
      <right/>
      <top style="double">
        <color theme="4" tint="0.79998168889431442"/>
      </top>
      <bottom style="double">
        <color theme="4" tint="0.79998168889431442"/>
      </bottom>
      <diagonal/>
    </border>
    <border>
      <left/>
      <right/>
      <top style="double">
        <color theme="4" tint="0.79998168889431442"/>
      </top>
      <bottom style="double">
        <color theme="4" tint="0.79998168889431442"/>
      </bottom>
      <diagonal/>
    </border>
    <border>
      <left/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/>
    <xf numFmtId="0" fontId="0" fillId="2" borderId="0" xfId="0" applyFill="1"/>
    <xf numFmtId="2" fontId="0" fillId="2" borderId="0" xfId="0" applyNumberFormat="1" applyFill="1"/>
    <xf numFmtId="0" fontId="2" fillId="2" borderId="1" xfId="0" applyFont="1" applyFill="1" applyBorder="1"/>
    <xf numFmtId="0" fontId="2" fillId="4" borderId="1" xfId="0" applyFont="1" applyFill="1" applyBorder="1"/>
    <xf numFmtId="0" fontId="4" fillId="2" borderId="0" xfId="0" applyFont="1" applyFill="1"/>
    <xf numFmtId="0" fontId="2" fillId="2" borderId="2" xfId="0" applyFont="1" applyFill="1" applyBorder="1"/>
    <xf numFmtId="43" fontId="0" fillId="2" borderId="2" xfId="1" applyFont="1" applyFill="1" applyBorder="1"/>
    <xf numFmtId="0" fontId="0" fillId="2" borderId="2" xfId="0" applyFill="1" applyBorder="1"/>
    <xf numFmtId="0" fontId="2" fillId="4" borderId="2" xfId="0" applyFont="1" applyFill="1" applyBorder="1"/>
    <xf numFmtId="43" fontId="2" fillId="4" borderId="2" xfId="1" applyFont="1" applyFill="1" applyBorder="1"/>
    <xf numFmtId="0" fontId="0" fillId="2" borderId="0" xfId="0" applyFill="1" applyAlignment="1">
      <alignment wrapText="1"/>
    </xf>
    <xf numFmtId="43" fontId="0" fillId="2" borderId="2" xfId="1" applyFont="1" applyFill="1" applyBorder="1" applyAlignment="1">
      <alignment wrapText="1"/>
    </xf>
    <xf numFmtId="43" fontId="2" fillId="4" borderId="2" xfId="1" applyFont="1" applyFill="1" applyBorder="1" applyAlignment="1">
      <alignment wrapText="1"/>
    </xf>
    <xf numFmtId="9" fontId="0" fillId="2" borderId="0" xfId="0" applyNumberFormat="1" applyFill="1"/>
    <xf numFmtId="0" fontId="2" fillId="5" borderId="2" xfId="0" applyFont="1" applyFill="1" applyBorder="1"/>
    <xf numFmtId="0" fontId="0" fillId="5" borderId="2" xfId="0" applyFill="1" applyBorder="1"/>
    <xf numFmtId="8" fontId="2" fillId="5" borderId="2" xfId="0" applyNumberFormat="1" applyFont="1" applyFill="1" applyBorder="1"/>
    <xf numFmtId="8" fontId="0" fillId="5" borderId="2" xfId="0" applyNumberForma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0" fillId="2" borderId="4" xfId="0" applyFill="1" applyBorder="1"/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 wrapText="1"/>
    </xf>
    <xf numFmtId="2" fontId="0" fillId="2" borderId="0" xfId="0" applyNumberFormat="1" applyFill="1" applyAlignment="1">
      <alignment wrapText="1"/>
    </xf>
    <xf numFmtId="8" fontId="0" fillId="2" borderId="0" xfId="0" applyNumberFormat="1" applyFill="1"/>
    <xf numFmtId="9" fontId="0" fillId="2" borderId="2" xfId="2" applyFont="1" applyFill="1" applyBorder="1"/>
    <xf numFmtId="9" fontId="0" fillId="2" borderId="0" xfId="0" applyNumberFormat="1" applyFill="1" applyAlignment="1">
      <alignment horizontal="right" vertical="center"/>
    </xf>
    <xf numFmtId="43" fontId="0" fillId="2" borderId="2" xfId="1" applyFont="1" applyFill="1" applyBorder="1" applyAlignment="1">
      <alignment horizontal="center"/>
    </xf>
    <xf numFmtId="43" fontId="0" fillId="2" borderId="2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43" fontId="0" fillId="2" borderId="0" xfId="0" applyNumberFormat="1" applyFill="1"/>
    <xf numFmtId="2" fontId="0" fillId="2" borderId="0" xfId="0" applyNumberFormat="1" applyFill="1" applyAlignment="1">
      <alignment horizontal="right" vertical="center"/>
    </xf>
    <xf numFmtId="2" fontId="2" fillId="2" borderId="0" xfId="0" applyNumberFormat="1" applyFont="1" applyFill="1" applyAlignment="1">
      <alignment horizontal="right" vertical="center" wrapText="1"/>
    </xf>
    <xf numFmtId="10" fontId="0" fillId="2" borderId="0" xfId="0" applyNumberFormat="1" applyFill="1" applyAlignment="1">
      <alignment horizontal="right" vertical="center"/>
    </xf>
    <xf numFmtId="9" fontId="0" fillId="2" borderId="0" xfId="2" applyFont="1" applyFill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43" fontId="2" fillId="2" borderId="2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4" borderId="0" xfId="0" applyFont="1" applyFill="1" applyAlignment="1">
      <alignment wrapText="1"/>
    </xf>
    <xf numFmtId="0" fontId="0" fillId="2" borderId="14" xfId="0" applyFill="1" applyBorder="1"/>
    <xf numFmtId="0" fontId="3" fillId="3" borderId="14" xfId="0" applyFont="1" applyFill="1" applyBorder="1"/>
    <xf numFmtId="9" fontId="0" fillId="2" borderId="14" xfId="0" applyNumberFormat="1" applyFill="1" applyBorder="1"/>
    <xf numFmtId="9" fontId="0" fillId="2" borderId="14" xfId="0" applyNumberFormat="1" applyFill="1" applyBorder="1" applyAlignment="1">
      <alignment horizontal="center"/>
    </xf>
    <xf numFmtId="0" fontId="2" fillId="2" borderId="14" xfId="0" applyFont="1" applyFill="1" applyBorder="1"/>
    <xf numFmtId="0" fontId="0" fillId="2" borderId="14" xfId="0" applyFill="1" applyBorder="1" applyAlignment="1">
      <alignment wrapText="1"/>
    </xf>
    <xf numFmtId="0" fontId="8" fillId="2" borderId="0" xfId="0" applyFont="1" applyFill="1"/>
    <xf numFmtId="9" fontId="0" fillId="2" borderId="14" xfId="0" applyNumberForma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9" fontId="0" fillId="2" borderId="14" xfId="2" applyFont="1" applyFill="1" applyBorder="1" applyAlignment="1">
      <alignment horizontal="right" vertical="center"/>
    </xf>
    <xf numFmtId="1" fontId="0" fillId="2" borderId="14" xfId="0" applyNumberFormat="1" applyFill="1" applyBorder="1" applyAlignment="1">
      <alignment horizontal="right" vertical="center"/>
    </xf>
    <xf numFmtId="9" fontId="0" fillId="5" borderId="2" xfId="0" applyNumberFormat="1" applyFill="1" applyBorder="1"/>
    <xf numFmtId="0" fontId="6" fillId="3" borderId="14" xfId="0" applyFont="1" applyFill="1" applyBorder="1"/>
    <xf numFmtId="9" fontId="6" fillId="3" borderId="14" xfId="0" applyNumberFormat="1" applyFont="1" applyFill="1" applyBorder="1"/>
    <xf numFmtId="0" fontId="2" fillId="2" borderId="0" xfId="0" applyFont="1" applyFill="1" applyAlignment="1">
      <alignment horizontal="left" vertic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3" fillId="3" borderId="1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B2" sqref="B2:K36"/>
    </sheetView>
  </sheetViews>
  <sheetFormatPr defaultRowHeight="15" x14ac:dyDescent="0.25"/>
  <cols>
    <col min="1" max="1" width="2" style="2" customWidth="1"/>
    <col min="2" max="2" width="36.7109375" style="2" customWidth="1"/>
    <col min="3" max="4" width="9.7109375" style="2" bestFit="1" customWidth="1"/>
    <col min="5" max="7" width="10.7109375" style="2" bestFit="1" customWidth="1"/>
    <col min="8" max="8" width="20.5703125" style="2" bestFit="1" customWidth="1"/>
    <col min="9" max="9" width="9.140625" style="2"/>
    <col min="10" max="10" width="20.140625" style="2" bestFit="1" customWidth="1"/>
    <col min="11" max="12" width="9.7109375" style="2" bestFit="1" customWidth="1"/>
    <col min="13" max="13" width="10.7109375" style="2" bestFit="1" customWidth="1"/>
    <col min="14" max="16384" width="9.140625" style="2"/>
  </cols>
  <sheetData>
    <row r="2" spans="2:11" ht="21" x14ac:dyDescent="0.35">
      <c r="B2" s="61" t="s">
        <v>53</v>
      </c>
    </row>
    <row r="4" spans="2:11" ht="30" x14ac:dyDescent="0.25">
      <c r="B4" s="54" t="s">
        <v>27</v>
      </c>
      <c r="C4" s="45" t="s">
        <v>68</v>
      </c>
      <c r="D4" s="45" t="s">
        <v>28</v>
      </c>
    </row>
    <row r="5" spans="2:11" ht="30" x14ac:dyDescent="0.25">
      <c r="B5" s="54" t="s">
        <v>29</v>
      </c>
      <c r="C5" s="45" t="s">
        <v>69</v>
      </c>
      <c r="D5" s="45" t="s">
        <v>28</v>
      </c>
    </row>
    <row r="7" spans="2:11" ht="15.75" thickBot="1" x14ac:dyDescent="0.3"/>
    <row r="8" spans="2:11" ht="16.5" thickTop="1" thickBot="1" x14ac:dyDescent="0.3">
      <c r="B8" s="79" t="s">
        <v>51</v>
      </c>
      <c r="C8" s="79"/>
      <c r="D8" s="79"/>
      <c r="E8" s="79"/>
      <c r="F8" s="79"/>
      <c r="G8" s="79"/>
      <c r="H8" s="79"/>
      <c r="J8" s="79" t="s">
        <v>58</v>
      </c>
      <c r="K8" s="79"/>
    </row>
    <row r="9" spans="2:11" ht="16.5" thickTop="1" thickBot="1" x14ac:dyDescent="0.3">
      <c r="B9" s="70"/>
      <c r="C9" s="71"/>
      <c r="D9" s="71"/>
      <c r="E9" s="71"/>
      <c r="F9" s="71"/>
      <c r="G9" s="71"/>
      <c r="H9" s="72"/>
      <c r="J9" s="55"/>
      <c r="K9" s="55"/>
    </row>
    <row r="10" spans="2:11" ht="16.5" thickTop="1" thickBot="1" x14ac:dyDescent="0.3">
      <c r="B10" s="56" t="s">
        <v>30</v>
      </c>
      <c r="C10" s="56" t="s">
        <v>32</v>
      </c>
      <c r="D10" s="56" t="s">
        <v>33</v>
      </c>
      <c r="E10" s="56" t="s">
        <v>34</v>
      </c>
      <c r="F10" s="56" t="s">
        <v>35</v>
      </c>
      <c r="G10" s="56" t="s">
        <v>36</v>
      </c>
      <c r="H10" s="56" t="s">
        <v>38</v>
      </c>
      <c r="J10" s="55" t="s">
        <v>59</v>
      </c>
      <c r="K10" s="57">
        <v>0.7</v>
      </c>
    </row>
    <row r="11" spans="2:11" ht="16.5" thickTop="1" thickBot="1" x14ac:dyDescent="0.3">
      <c r="B11" s="55" t="s">
        <v>56</v>
      </c>
      <c r="C11" s="57">
        <v>0.05</v>
      </c>
      <c r="D11" s="57">
        <v>0.05</v>
      </c>
      <c r="E11" s="57">
        <v>0.02</v>
      </c>
      <c r="F11" s="58" t="s">
        <v>40</v>
      </c>
      <c r="G11" s="58" t="s">
        <v>40</v>
      </c>
      <c r="H11" s="57">
        <f>SUM(C11:G11)</f>
        <v>0.12000000000000001</v>
      </c>
      <c r="J11" s="55" t="s">
        <v>60</v>
      </c>
      <c r="K11" s="57">
        <v>0.3</v>
      </c>
    </row>
    <row r="12" spans="2:11" ht="16.5" thickTop="1" thickBot="1" x14ac:dyDescent="0.3">
      <c r="B12" s="55" t="s">
        <v>57</v>
      </c>
      <c r="C12" s="57">
        <v>0.05</v>
      </c>
      <c r="D12" s="57">
        <v>0.05</v>
      </c>
      <c r="E12" s="57">
        <v>0.02</v>
      </c>
      <c r="F12" s="58" t="s">
        <v>40</v>
      </c>
      <c r="G12" s="58" t="s">
        <v>40</v>
      </c>
      <c r="H12" s="57">
        <f>SUM(C12:G12)</f>
        <v>0.12000000000000001</v>
      </c>
      <c r="J12" s="55" t="s">
        <v>61</v>
      </c>
      <c r="K12" s="57">
        <v>0.1</v>
      </c>
    </row>
    <row r="13" spans="2:11" ht="16.5" thickTop="1" thickBot="1" x14ac:dyDescent="0.3">
      <c r="B13" s="70"/>
      <c r="C13" s="71"/>
      <c r="D13" s="71"/>
      <c r="E13" s="71"/>
      <c r="F13" s="71"/>
      <c r="G13" s="71"/>
      <c r="H13" s="72"/>
      <c r="J13" s="55" t="s">
        <v>62</v>
      </c>
      <c r="K13" s="57">
        <v>0.2</v>
      </c>
    </row>
    <row r="14" spans="2:11" ht="16.5" thickTop="1" thickBot="1" x14ac:dyDescent="0.3">
      <c r="B14" s="56" t="s">
        <v>37</v>
      </c>
      <c r="C14" s="56" t="s">
        <v>32</v>
      </c>
      <c r="D14" s="56" t="s">
        <v>33</v>
      </c>
      <c r="E14" s="56" t="s">
        <v>34</v>
      </c>
      <c r="F14" s="56" t="s">
        <v>35</v>
      </c>
      <c r="G14" s="56" t="s">
        <v>36</v>
      </c>
      <c r="H14" s="56" t="s">
        <v>38</v>
      </c>
      <c r="J14" s="55" t="s">
        <v>63</v>
      </c>
      <c r="K14" s="57">
        <v>0.3</v>
      </c>
    </row>
    <row r="15" spans="2:11" ht="16.5" thickTop="1" thickBot="1" x14ac:dyDescent="0.3">
      <c r="B15" s="55" t="s">
        <v>56</v>
      </c>
      <c r="C15" s="57">
        <v>0</v>
      </c>
      <c r="D15" s="57">
        <v>0.1</v>
      </c>
      <c r="E15" s="57">
        <v>0.18</v>
      </c>
      <c r="F15" s="57">
        <v>0.3</v>
      </c>
      <c r="G15" s="57">
        <v>0.3</v>
      </c>
      <c r="H15" s="57">
        <f>SUM(C15:G15)</f>
        <v>0.88000000000000012</v>
      </c>
      <c r="J15" s="55"/>
      <c r="K15" s="55"/>
    </row>
    <row r="16" spans="2:11" ht="16.5" thickTop="1" thickBot="1" x14ac:dyDescent="0.3">
      <c r="B16" s="55" t="s">
        <v>57</v>
      </c>
      <c r="C16" s="57">
        <v>0</v>
      </c>
      <c r="D16" s="57">
        <v>0.1</v>
      </c>
      <c r="E16" s="57">
        <v>0.18</v>
      </c>
      <c r="F16" s="57">
        <v>0.3</v>
      </c>
      <c r="G16" s="57">
        <v>0.3</v>
      </c>
      <c r="H16" s="57">
        <f>SUM(C16:G16)</f>
        <v>0.88000000000000012</v>
      </c>
      <c r="J16" s="67" t="s">
        <v>12</v>
      </c>
      <c r="K16" s="68">
        <f>((K11*K13)+(K10*K12)*(1-K14))</f>
        <v>0.10899999999999999</v>
      </c>
    </row>
    <row r="17" spans="2:8" ht="15.75" thickTop="1" x14ac:dyDescent="0.25"/>
    <row r="18" spans="2:8" ht="15.75" thickBot="1" x14ac:dyDescent="0.3"/>
    <row r="19" spans="2:8" ht="16.5" thickTop="1" thickBot="1" x14ac:dyDescent="0.3">
      <c r="B19" s="79" t="s">
        <v>52</v>
      </c>
      <c r="C19" s="79"/>
      <c r="D19" s="79"/>
      <c r="E19" s="79"/>
      <c r="F19" s="79"/>
      <c r="G19" s="79"/>
    </row>
    <row r="20" spans="2:8" ht="16.5" thickTop="1" thickBot="1" x14ac:dyDescent="0.3">
      <c r="B20" s="70"/>
      <c r="C20" s="71"/>
      <c r="D20" s="71"/>
      <c r="E20" s="71"/>
      <c r="F20" s="71"/>
      <c r="G20" s="72"/>
    </row>
    <row r="21" spans="2:8" ht="16.5" thickTop="1" thickBot="1" x14ac:dyDescent="0.3">
      <c r="B21" s="56" t="s">
        <v>39</v>
      </c>
      <c r="C21" s="56" t="s">
        <v>32</v>
      </c>
      <c r="D21" s="56" t="s">
        <v>33</v>
      </c>
      <c r="E21" s="56" t="s">
        <v>34</v>
      </c>
      <c r="F21" s="56" t="s">
        <v>35</v>
      </c>
      <c r="G21" s="56" t="s">
        <v>36</v>
      </c>
    </row>
    <row r="22" spans="2:8" ht="31.5" thickTop="1" thickBot="1" x14ac:dyDescent="0.3">
      <c r="B22" s="60" t="s">
        <v>55</v>
      </c>
      <c r="C22" s="62">
        <v>0.35</v>
      </c>
      <c r="D22" s="62">
        <v>0.35</v>
      </c>
      <c r="E22" s="62">
        <v>0.15</v>
      </c>
      <c r="F22" s="62">
        <v>0.15</v>
      </c>
      <c r="G22" s="62" t="s">
        <v>40</v>
      </c>
      <c r="H22" s="30"/>
    </row>
    <row r="23" spans="2:8" ht="16.5" thickTop="1" thickBot="1" x14ac:dyDescent="0.3">
      <c r="B23" s="55"/>
      <c r="C23" s="63"/>
      <c r="D23" s="63"/>
      <c r="E23" s="63"/>
      <c r="F23" s="63"/>
      <c r="G23" s="63"/>
    </row>
    <row r="24" spans="2:8" ht="31.5" thickTop="1" thickBot="1" x14ac:dyDescent="0.3">
      <c r="B24" s="60" t="s">
        <v>54</v>
      </c>
      <c r="C24" s="64">
        <f>22%</f>
        <v>0.22</v>
      </c>
      <c r="D24" s="64">
        <f>C24*(1-12%)</f>
        <v>0.19359999999999999</v>
      </c>
      <c r="E24" s="64">
        <f>D24*(1-12%)</f>
        <v>0.17036799999999999</v>
      </c>
      <c r="F24" s="64">
        <f>E24*(1-12%)</f>
        <v>0.14992384</v>
      </c>
      <c r="G24" s="63" t="s">
        <v>40</v>
      </c>
    </row>
    <row r="25" spans="2:8" ht="15.75" thickTop="1" x14ac:dyDescent="0.25"/>
    <row r="26" spans="2:8" ht="15.75" thickBot="1" x14ac:dyDescent="0.3"/>
    <row r="27" spans="2:8" ht="16.5" thickTop="1" thickBot="1" x14ac:dyDescent="0.3">
      <c r="B27" s="79" t="s">
        <v>41</v>
      </c>
      <c r="C27" s="79"/>
      <c r="D27" s="79"/>
      <c r="E27" s="79"/>
      <c r="F27" s="79"/>
      <c r="G27" s="79"/>
    </row>
    <row r="28" spans="2:8" ht="16.5" thickTop="1" thickBot="1" x14ac:dyDescent="0.3">
      <c r="B28" s="70"/>
      <c r="C28" s="71"/>
      <c r="D28" s="71"/>
      <c r="E28" s="71"/>
      <c r="F28" s="71"/>
      <c r="G28" s="72"/>
    </row>
    <row r="29" spans="2:8" ht="16.5" thickTop="1" thickBot="1" x14ac:dyDescent="0.3">
      <c r="B29" s="56" t="s">
        <v>39</v>
      </c>
      <c r="C29" s="56" t="s">
        <v>32</v>
      </c>
      <c r="D29" s="56" t="s">
        <v>33</v>
      </c>
      <c r="E29" s="56" t="s">
        <v>34</v>
      </c>
      <c r="F29" s="56" t="s">
        <v>35</v>
      </c>
      <c r="G29" s="56" t="s">
        <v>36</v>
      </c>
    </row>
    <row r="30" spans="2:8" ht="16.5" thickTop="1" thickBot="1" x14ac:dyDescent="0.3">
      <c r="B30" s="76" t="s">
        <v>42</v>
      </c>
      <c r="C30" s="77"/>
      <c r="D30" s="77"/>
      <c r="E30" s="77"/>
      <c r="F30" s="77"/>
      <c r="G30" s="78"/>
    </row>
    <row r="31" spans="2:8" ht="16.5" thickTop="1" thickBot="1" x14ac:dyDescent="0.3">
      <c r="B31" s="59" t="s">
        <v>43</v>
      </c>
      <c r="C31" s="65">
        <v>1600</v>
      </c>
      <c r="D31" s="65">
        <f>C31*(1+7%)</f>
        <v>1712</v>
      </c>
      <c r="E31" s="65">
        <f t="shared" ref="E31:F32" si="0">D31*(1+7%)</f>
        <v>1831.8400000000001</v>
      </c>
      <c r="F31" s="65">
        <f t="shared" si="0"/>
        <v>1960.0688000000002</v>
      </c>
      <c r="G31" s="65" t="s">
        <v>40</v>
      </c>
    </row>
    <row r="32" spans="2:8" ht="16.5" thickTop="1" thickBot="1" x14ac:dyDescent="0.3">
      <c r="B32" s="59" t="s">
        <v>31</v>
      </c>
      <c r="C32" s="65">
        <v>1700</v>
      </c>
      <c r="D32" s="65">
        <f>C32*(1+7%)</f>
        <v>1819</v>
      </c>
      <c r="E32" s="65">
        <f t="shared" si="0"/>
        <v>1946.3300000000002</v>
      </c>
      <c r="F32" s="65">
        <f t="shared" si="0"/>
        <v>2082.5731000000001</v>
      </c>
      <c r="G32" s="65" t="s">
        <v>40</v>
      </c>
    </row>
    <row r="33" spans="2:7" ht="16.5" thickTop="1" thickBot="1" x14ac:dyDescent="0.3">
      <c r="B33" s="73"/>
      <c r="C33" s="74"/>
      <c r="D33" s="74"/>
      <c r="E33" s="74"/>
      <c r="F33" s="74"/>
      <c r="G33" s="75"/>
    </row>
    <row r="34" spans="2:7" ht="16.5" thickTop="1" thickBot="1" x14ac:dyDescent="0.3">
      <c r="B34" s="76" t="s">
        <v>70</v>
      </c>
      <c r="C34" s="77"/>
      <c r="D34" s="77"/>
      <c r="E34" s="77"/>
      <c r="F34" s="77"/>
      <c r="G34" s="78"/>
    </row>
    <row r="35" spans="2:7" ht="16.5" thickTop="1" thickBot="1" x14ac:dyDescent="0.3">
      <c r="B35" s="59" t="s">
        <v>43</v>
      </c>
      <c r="C35" s="65">
        <v>4700</v>
      </c>
      <c r="D35" s="65">
        <f>C35*(1+7%)</f>
        <v>5029</v>
      </c>
      <c r="E35" s="65">
        <f t="shared" ref="E35:G35" si="1">D35*(1+7%)</f>
        <v>5381.0300000000007</v>
      </c>
      <c r="F35" s="65">
        <f t="shared" si="1"/>
        <v>5757.7021000000013</v>
      </c>
      <c r="G35" s="65">
        <f t="shared" si="1"/>
        <v>6160.7412470000017</v>
      </c>
    </row>
    <row r="36" spans="2:7" ht="16.5" thickTop="1" thickBot="1" x14ac:dyDescent="0.3">
      <c r="B36" s="59" t="s">
        <v>31</v>
      </c>
      <c r="C36" s="65">
        <v>8500</v>
      </c>
      <c r="D36" s="65">
        <f t="shared" ref="D36:G36" si="2">C36*(1+5%)</f>
        <v>8925</v>
      </c>
      <c r="E36" s="65">
        <f t="shared" si="2"/>
        <v>9371.25</v>
      </c>
      <c r="F36" s="65">
        <f t="shared" si="2"/>
        <v>9839.8125</v>
      </c>
      <c r="G36" s="65">
        <f t="shared" si="2"/>
        <v>10331.803125</v>
      </c>
    </row>
    <row r="37" spans="2:7" ht="15.75" thickTop="1" x14ac:dyDescent="0.25"/>
  </sheetData>
  <mergeCells count="11">
    <mergeCell ref="B28:G28"/>
    <mergeCell ref="B33:G33"/>
    <mergeCell ref="B34:G34"/>
    <mergeCell ref="B30:G30"/>
    <mergeCell ref="J8:K8"/>
    <mergeCell ref="B27:G27"/>
    <mergeCell ref="B8:H8"/>
    <mergeCell ref="B19:G19"/>
    <mergeCell ref="B20:G20"/>
    <mergeCell ref="B9:H9"/>
    <mergeCell ref="B13:H13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EW30"/>
  <sheetViews>
    <sheetView tabSelected="1" zoomScale="85" zoomScaleNormal="85" workbookViewId="0">
      <selection activeCell="B11" sqref="B11:H29"/>
    </sheetView>
  </sheetViews>
  <sheetFormatPr defaultColWidth="8.85546875" defaultRowHeight="15" x14ac:dyDescent="0.25"/>
  <cols>
    <col min="1" max="1" width="2" style="2" customWidth="1"/>
    <col min="2" max="2" width="25.140625" style="2" customWidth="1"/>
    <col min="3" max="3" width="10" style="2" bestFit="1" customWidth="1"/>
    <col min="4" max="4" width="12.28515625" style="2" customWidth="1"/>
    <col min="5" max="5" width="10" style="2" bestFit="1" customWidth="1"/>
    <col min="6" max="6" width="14.28515625" style="2" bestFit="1" customWidth="1"/>
    <col min="7" max="7" width="12.28515625" style="2" bestFit="1" customWidth="1"/>
    <col min="8" max="8" width="16.140625" style="12" customWidth="1"/>
    <col min="9" max="9" width="7.7109375" style="2" customWidth="1"/>
    <col min="10" max="10" width="34.140625" style="2" bestFit="1" customWidth="1"/>
    <col min="11" max="15" width="12.140625" style="2" customWidth="1"/>
    <col min="16" max="16" width="20.5703125" style="2" bestFit="1" customWidth="1"/>
    <col min="17" max="17" width="26.7109375" style="2" bestFit="1" customWidth="1"/>
    <col min="18" max="18" width="7" style="2" bestFit="1" customWidth="1"/>
    <col min="19" max="20" width="9.7109375" style="2" bestFit="1" customWidth="1"/>
    <col min="21" max="23" width="10.7109375" style="2" bestFit="1" customWidth="1"/>
    <col min="24" max="16384" width="8.85546875" style="2"/>
  </cols>
  <sheetData>
    <row r="2" spans="2:16 16377:16377" ht="21" x14ac:dyDescent="0.35">
      <c r="B2" s="6" t="s">
        <v>20</v>
      </c>
    </row>
    <row r="3" spans="2:16 16377:16377" ht="15.75" thickBot="1" x14ac:dyDescent="0.3">
      <c r="J3" s="82" t="s">
        <v>18</v>
      </c>
      <c r="K3" s="82"/>
      <c r="L3" s="82"/>
      <c r="M3" s="82"/>
      <c r="N3" s="82"/>
      <c r="O3" s="82"/>
    </row>
    <row r="4" spans="2:16 16377:16377" ht="45.75" customHeight="1" thickTop="1" thickBot="1" x14ac:dyDescent="0.3">
      <c r="B4" s="23" t="s">
        <v>13</v>
      </c>
      <c r="C4" s="24" t="s">
        <v>22</v>
      </c>
      <c r="D4" s="24" t="s">
        <v>21</v>
      </c>
      <c r="E4" s="24" t="s">
        <v>23</v>
      </c>
      <c r="F4" s="24" t="s">
        <v>71</v>
      </c>
      <c r="G4" s="24" t="s">
        <v>25</v>
      </c>
      <c r="H4" s="24" t="s">
        <v>24</v>
      </c>
      <c r="J4" s="80" t="s">
        <v>49</v>
      </c>
      <c r="K4" s="81"/>
      <c r="L4" s="81"/>
      <c r="M4" s="81"/>
      <c r="N4" s="81"/>
      <c r="O4" s="83"/>
    </row>
    <row r="5" spans="2:16 16377:16377" ht="16.5" thickTop="1" thickBot="1" x14ac:dyDescent="0.3">
      <c r="B5" s="20"/>
      <c r="C5" s="20"/>
      <c r="D5" s="20"/>
      <c r="E5" s="20"/>
      <c r="F5" s="20"/>
      <c r="G5" s="20"/>
      <c r="H5" s="21"/>
      <c r="J5" s="23" t="s">
        <v>13</v>
      </c>
      <c r="K5" s="25" t="s">
        <v>32</v>
      </c>
      <c r="L5" s="25" t="s">
        <v>33</v>
      </c>
      <c r="M5" s="25" t="s">
        <v>34</v>
      </c>
      <c r="N5" s="25" t="s">
        <v>35</v>
      </c>
      <c r="O5" s="25" t="s">
        <v>36</v>
      </c>
    </row>
    <row r="6" spans="2:16 16377:16377" ht="16.5" thickTop="1" thickBot="1" x14ac:dyDescent="0.3">
      <c r="B6" s="7" t="s">
        <v>0</v>
      </c>
      <c r="C6" s="8">
        <v>60910</v>
      </c>
      <c r="D6" s="8">
        <v>7250</v>
      </c>
      <c r="E6" s="8">
        <f>C6-D6</f>
        <v>53660</v>
      </c>
      <c r="F6" s="8">
        <f>E6*1.75</f>
        <v>93905</v>
      </c>
      <c r="G6" s="8">
        <f>F6*1.25</f>
        <v>117381.25</v>
      </c>
      <c r="H6" s="13">
        <f>Assumptions!C35</f>
        <v>4700</v>
      </c>
      <c r="J6" s="46" t="s">
        <v>30</v>
      </c>
      <c r="K6" s="48"/>
      <c r="L6" s="48"/>
      <c r="M6" s="48"/>
      <c r="N6" s="48"/>
      <c r="O6" s="49"/>
    </row>
    <row r="7" spans="2:16 16377:16377" ht="16.5" thickTop="1" thickBot="1" x14ac:dyDescent="0.3">
      <c r="B7" s="7" t="s">
        <v>1</v>
      </c>
      <c r="C7" s="8">
        <v>22000</v>
      </c>
      <c r="D7" s="8">
        <v>0</v>
      </c>
      <c r="E7" s="8">
        <f>C7-D7</f>
        <v>22000</v>
      </c>
      <c r="F7" s="8">
        <f>E7*1.75</f>
        <v>38500</v>
      </c>
      <c r="G7" s="8">
        <f>F7*1.15</f>
        <v>44275</v>
      </c>
      <c r="H7" s="13">
        <f>Assumptions!C36</f>
        <v>8500</v>
      </c>
      <c r="J7" s="7" t="s">
        <v>10</v>
      </c>
      <c r="K7" s="32">
        <f>$G$6*Assumptions!C11*Assumptions!C35/10^7</f>
        <v>2.7584593750000002</v>
      </c>
      <c r="L7" s="32">
        <f>$G$6*Assumptions!D11*Assumptions!D35/10^7</f>
        <v>2.9515515312499998</v>
      </c>
      <c r="M7" s="32">
        <f>$G$6*Assumptions!E11*Assumptions!E35/10^7</f>
        <v>1.2632640553750001</v>
      </c>
      <c r="N7" s="32">
        <v>0</v>
      </c>
      <c r="O7" s="32">
        <v>0</v>
      </c>
    </row>
    <row r="8" spans="2:16 16377:16377" ht="16.5" thickTop="1" thickBot="1" x14ac:dyDescent="0.3">
      <c r="B8" s="9"/>
      <c r="C8" s="29"/>
      <c r="D8" s="8"/>
      <c r="E8" s="8"/>
      <c r="F8" s="8"/>
      <c r="G8" s="8"/>
      <c r="H8" s="13"/>
      <c r="J8" s="7" t="s">
        <v>11</v>
      </c>
      <c r="K8" s="32">
        <f>$G$7*Assumptions!C12*Assumptions!C36/10^7</f>
        <v>1.8816875</v>
      </c>
      <c r="L8" s="32">
        <f>$G$7*Assumptions!D12*Assumptions!D36/10^7</f>
        <v>1.975771875</v>
      </c>
      <c r="M8" s="32">
        <f>$G$7*Assumptions!E12*Assumptions!E36/10^7</f>
        <v>0.82982418749999998</v>
      </c>
      <c r="N8" s="32">
        <v>0</v>
      </c>
      <c r="O8" s="32">
        <v>0</v>
      </c>
    </row>
    <row r="9" spans="2:16 16377:16377" ht="16.5" thickTop="1" thickBot="1" x14ac:dyDescent="0.3">
      <c r="B9" s="10" t="s">
        <v>8</v>
      </c>
      <c r="C9" s="11">
        <f>C6+C7</f>
        <v>82910</v>
      </c>
      <c r="D9" s="11">
        <f>D6+D7</f>
        <v>7250</v>
      </c>
      <c r="E9" s="11">
        <f>E6+E7</f>
        <v>75660</v>
      </c>
      <c r="F9" s="11">
        <f>F6+F7</f>
        <v>132405</v>
      </c>
      <c r="G9" s="11">
        <f>G6+G7</f>
        <v>161656.25</v>
      </c>
      <c r="H9" s="14"/>
      <c r="J9" s="7" t="s">
        <v>46</v>
      </c>
      <c r="K9" s="47">
        <f>K7+K8</f>
        <v>4.6401468750000001</v>
      </c>
      <c r="L9" s="47">
        <f t="shared" ref="L9:O9" si="0">L7+L8</f>
        <v>4.9273234062500002</v>
      </c>
      <c r="M9" s="47">
        <f t="shared" si="0"/>
        <v>2.0930882428749999</v>
      </c>
      <c r="N9" s="47">
        <f t="shared" si="0"/>
        <v>0</v>
      </c>
      <c r="O9" s="47">
        <f t="shared" si="0"/>
        <v>0</v>
      </c>
      <c r="XEW9" s="2">
        <f>XEW6+XEW7</f>
        <v>0</v>
      </c>
    </row>
    <row r="10" spans="2:16 16377:16377" ht="16.5" thickTop="1" thickBot="1" x14ac:dyDescent="0.3">
      <c r="J10" s="34" t="s">
        <v>37</v>
      </c>
      <c r="K10" s="50"/>
      <c r="L10" s="50"/>
      <c r="M10" s="50"/>
      <c r="N10" s="50"/>
      <c r="O10" s="51"/>
    </row>
    <row r="11" spans="2:16 16377:16377" ht="16.5" thickTop="1" thickBot="1" x14ac:dyDescent="0.3">
      <c r="B11" s="82" t="s">
        <v>17</v>
      </c>
      <c r="C11" s="82"/>
      <c r="D11" s="82"/>
      <c r="E11" s="82"/>
      <c r="F11" s="82"/>
      <c r="G11" s="82"/>
      <c r="H11" s="82"/>
      <c r="J11" s="7" t="s">
        <v>10</v>
      </c>
      <c r="K11" s="32">
        <f>$G$6*Assumptions!C15*Assumptions!C35/10^7</f>
        <v>0</v>
      </c>
      <c r="L11" s="32">
        <f>$G$6*Assumptions!D15*Assumptions!D35/10^7</f>
        <v>5.9031030624999996</v>
      </c>
      <c r="M11" s="32">
        <f>$G$6*Assumptions!E15*Assumptions!E35/10^7</f>
        <v>11.369376498375001</v>
      </c>
      <c r="N11" s="32">
        <f>$G$6*Assumptions!F15*Assumptions!F35/10^7</f>
        <v>20.275388088768754</v>
      </c>
      <c r="O11" s="32">
        <f>$G$6*Assumptions!G15*Assumptions!G35/10^7</f>
        <v>21.694665254982571</v>
      </c>
    </row>
    <row r="12" spans="2:16 16377:16377" ht="31.5" thickTop="1" thickBot="1" x14ac:dyDescent="0.3">
      <c r="B12" s="23" t="s">
        <v>13</v>
      </c>
      <c r="C12" s="25" t="s">
        <v>2</v>
      </c>
      <c r="D12" s="25" t="s">
        <v>3</v>
      </c>
      <c r="E12" s="25" t="s">
        <v>4</v>
      </c>
      <c r="F12" s="25" t="s">
        <v>5</v>
      </c>
      <c r="G12" s="25" t="s">
        <v>6</v>
      </c>
      <c r="H12" s="26" t="s">
        <v>50</v>
      </c>
      <c r="J12" s="53" t="s">
        <v>11</v>
      </c>
      <c r="K12" s="32">
        <f>$G$7*Assumptions!C16*Assumptions!C36/10^7</f>
        <v>0</v>
      </c>
      <c r="L12" s="32">
        <f>$G$7*Assumptions!D16*Assumptions!D36/10^7</f>
        <v>3.9515437499999999</v>
      </c>
      <c r="M12" s="32">
        <f>$G$7*Assumptions!E16*Assumptions!E36/10^7</f>
        <v>7.4684176874999997</v>
      </c>
      <c r="N12" s="32">
        <f>$G$7*Assumptions!F16*Assumptions!F36/10^7</f>
        <v>13.069730953124999</v>
      </c>
      <c r="O12" s="32">
        <f>$G$7*Assumptions!G16*Assumptions!G36/10^7</f>
        <v>13.723217500781249</v>
      </c>
    </row>
    <row r="13" spans="2:16 16377:16377" ht="20.25" customHeight="1" thickTop="1" thickBot="1" x14ac:dyDescent="0.3">
      <c r="B13" s="1"/>
      <c r="J13" s="35" t="s">
        <v>47</v>
      </c>
      <c r="K13" s="47">
        <f>K11+K12</f>
        <v>0</v>
      </c>
      <c r="L13" s="47">
        <f t="shared" ref="L13:O13" si="1">L11+L12</f>
        <v>9.8546468125000004</v>
      </c>
      <c r="M13" s="47">
        <f t="shared" si="1"/>
        <v>18.837794185875001</v>
      </c>
      <c r="N13" s="47">
        <f t="shared" si="1"/>
        <v>33.345119041893753</v>
      </c>
      <c r="O13" s="47">
        <f t="shared" si="1"/>
        <v>35.41788275576382</v>
      </c>
    </row>
    <row r="14" spans="2:16 16377:16377" ht="16.5" thickTop="1" thickBot="1" x14ac:dyDescent="0.3">
      <c r="B14" s="1" t="s">
        <v>9</v>
      </c>
      <c r="C14" s="37">
        <f>K9</f>
        <v>4.6401468750000001</v>
      </c>
      <c r="D14" s="37">
        <f>L9</f>
        <v>4.9273234062500002</v>
      </c>
      <c r="E14" s="37">
        <f>M9</f>
        <v>2.0930882428749999</v>
      </c>
      <c r="F14" s="37">
        <f>N9</f>
        <v>0</v>
      </c>
      <c r="G14" s="37">
        <f>O9</f>
        <v>0</v>
      </c>
      <c r="H14" s="38">
        <f>SUM(C14:G14)</f>
        <v>11.660558524124999</v>
      </c>
      <c r="P14" s="36"/>
    </row>
    <row r="15" spans="2:16 16377:16377" ht="16.5" thickTop="1" thickBot="1" x14ac:dyDescent="0.3">
      <c r="B15" s="1" t="s">
        <v>15</v>
      </c>
      <c r="C15" s="37">
        <f>K13</f>
        <v>0</v>
      </c>
      <c r="D15" s="37">
        <f>L13</f>
        <v>9.8546468125000004</v>
      </c>
      <c r="E15" s="37">
        <f>M13</f>
        <v>18.837794185875001</v>
      </c>
      <c r="F15" s="37">
        <f>N13</f>
        <v>33.345119041893753</v>
      </c>
      <c r="G15" s="37">
        <f>O13</f>
        <v>35.41788275576382</v>
      </c>
      <c r="H15" s="38">
        <f>SUM(C15:G15)</f>
        <v>97.455442796032571</v>
      </c>
      <c r="J15" s="10" t="s">
        <v>45</v>
      </c>
      <c r="K15" s="11">
        <f>K9+K13</f>
        <v>4.6401468750000001</v>
      </c>
      <c r="L15" s="11">
        <f>L9+L13</f>
        <v>14.781970218750001</v>
      </c>
      <c r="M15" s="11">
        <f>M9+M13</f>
        <v>20.930882428750003</v>
      </c>
      <c r="N15" s="11">
        <f>N9+N13</f>
        <v>33.345119041893753</v>
      </c>
      <c r="O15" s="11">
        <f>O9+O13</f>
        <v>35.41788275576382</v>
      </c>
    </row>
    <row r="16" spans="2:16 16377:16377" ht="16.5" thickTop="1" thickBot="1" x14ac:dyDescent="0.3">
      <c r="B16" s="1"/>
      <c r="C16" s="39"/>
      <c r="D16" s="40"/>
      <c r="E16" s="40"/>
      <c r="F16" s="40"/>
      <c r="G16" s="40"/>
      <c r="H16" s="38"/>
    </row>
    <row r="17" spans="2:14" ht="15.75" thickBot="1" x14ac:dyDescent="0.3">
      <c r="B17" s="4" t="s">
        <v>65</v>
      </c>
      <c r="C17" s="41">
        <f>C14+C15</f>
        <v>4.6401468750000001</v>
      </c>
      <c r="D17" s="41">
        <f t="shared" ref="D17:H17" si="2">D14+D15</f>
        <v>14.781970218750001</v>
      </c>
      <c r="E17" s="41">
        <f t="shared" si="2"/>
        <v>20.930882428750003</v>
      </c>
      <c r="F17" s="41">
        <f t="shared" si="2"/>
        <v>33.345119041893753</v>
      </c>
      <c r="G17" s="41">
        <f t="shared" si="2"/>
        <v>35.41788275576382</v>
      </c>
      <c r="H17" s="41">
        <f t="shared" si="2"/>
        <v>109.11600132015757</v>
      </c>
    </row>
    <row r="18" spans="2:14" ht="15.75" thickBot="1" x14ac:dyDescent="0.3">
      <c r="B18" s="1"/>
      <c r="C18" s="37"/>
      <c r="D18" s="37"/>
      <c r="E18" s="37"/>
      <c r="F18" s="37"/>
      <c r="G18" s="37"/>
      <c r="H18" s="38"/>
      <c r="J18" s="82" t="s">
        <v>18</v>
      </c>
      <c r="K18" s="82"/>
      <c r="L18" s="82"/>
      <c r="M18" s="82"/>
      <c r="N18" s="82"/>
    </row>
    <row r="19" spans="2:14" ht="46.5" thickTop="1" thickBot="1" x14ac:dyDescent="0.3">
      <c r="B19" s="69" t="s">
        <v>64</v>
      </c>
      <c r="C19" s="37">
        <f>K25</f>
        <v>7.5494300000000001</v>
      </c>
      <c r="D19" s="37">
        <f>L25</f>
        <v>8.0778901000000012</v>
      </c>
      <c r="E19" s="37">
        <f>M25</f>
        <v>3.7042896030000003</v>
      </c>
      <c r="F19" s="37">
        <f>N25</f>
        <v>3.9635898752100003</v>
      </c>
      <c r="G19" s="37">
        <f t="shared" ref="G19" si="3">V9</f>
        <v>0</v>
      </c>
      <c r="H19" s="38">
        <f>SUM(C19:G19)</f>
        <v>23.295199578210003</v>
      </c>
      <c r="J19" s="80" t="s">
        <v>48</v>
      </c>
      <c r="K19" s="81"/>
      <c r="L19" s="81"/>
      <c r="M19" s="81"/>
      <c r="N19" s="81"/>
    </row>
    <row r="20" spans="2:14" ht="16.5" thickTop="1" thickBot="1" x14ac:dyDescent="0.3">
      <c r="B20" s="1" t="s">
        <v>7</v>
      </c>
      <c r="C20" s="37">
        <f>C19*Assumptions!C24</f>
        <v>1.6608746000000001</v>
      </c>
      <c r="D20" s="37">
        <f>D19*Assumptions!D24</f>
        <v>1.5638795233600002</v>
      </c>
      <c r="E20" s="37">
        <f>E19*Assumptions!E24</f>
        <v>0.63109241108390401</v>
      </c>
      <c r="F20" s="37">
        <f>F19*Assumptions!F24</f>
        <v>0.59423661427660401</v>
      </c>
      <c r="G20" s="37">
        <v>0.6</v>
      </c>
      <c r="H20" s="38">
        <f>SUM(C20:G20)</f>
        <v>5.0500831487205078</v>
      </c>
      <c r="J20" s="23" t="s">
        <v>13</v>
      </c>
      <c r="K20" s="25" t="s">
        <v>32</v>
      </c>
      <c r="L20" s="25" t="s">
        <v>33</v>
      </c>
      <c r="M20" s="25" t="s">
        <v>34</v>
      </c>
      <c r="N20" s="25" t="s">
        <v>35</v>
      </c>
    </row>
    <row r="21" spans="2:14" ht="16.5" thickTop="1" thickBot="1" x14ac:dyDescent="0.3">
      <c r="B21" s="1"/>
      <c r="C21" s="37"/>
      <c r="D21" s="37"/>
      <c r="E21" s="37"/>
      <c r="F21" s="37"/>
      <c r="G21" s="37"/>
      <c r="H21" s="38"/>
      <c r="J21" s="22"/>
      <c r="K21" s="33"/>
      <c r="L21" s="33"/>
      <c r="M21" s="33"/>
      <c r="N21" s="33"/>
    </row>
    <row r="22" spans="2:14" ht="16.5" thickTop="1" thickBot="1" x14ac:dyDescent="0.3">
      <c r="B22" s="4" t="s">
        <v>66</v>
      </c>
      <c r="C22" s="41">
        <f t="shared" ref="C22:H22" si="4">C19+C20</f>
        <v>9.2103046000000006</v>
      </c>
      <c r="D22" s="41">
        <f t="shared" si="4"/>
        <v>9.6417696233600019</v>
      </c>
      <c r="E22" s="41">
        <f t="shared" si="4"/>
        <v>4.3353820140839048</v>
      </c>
      <c r="F22" s="41">
        <f t="shared" si="4"/>
        <v>4.5578264894866045</v>
      </c>
      <c r="G22" s="41">
        <f t="shared" si="4"/>
        <v>0.6</v>
      </c>
      <c r="H22" s="42">
        <f t="shared" si="4"/>
        <v>28.34528272693051</v>
      </c>
      <c r="J22" s="7" t="s">
        <v>10</v>
      </c>
      <c r="K22" s="31">
        <f>$F$6*Assumptions!C22*Assumptions!C31/10^7</f>
        <v>5.25868</v>
      </c>
      <c r="L22" s="31">
        <f>$F$6*Assumptions!D22*Assumptions!D31/10^7</f>
        <v>5.6267876000000001</v>
      </c>
      <c r="M22" s="31">
        <f>$F$6*Assumptions!E22*Assumptions!E31/10^7</f>
        <v>2.5802840280000003</v>
      </c>
      <c r="N22" s="31">
        <f>$F$6*Assumptions!F22*Assumptions!F31/10^7</f>
        <v>2.7609039099600001</v>
      </c>
    </row>
    <row r="23" spans="2:14" ht="16.5" thickTop="1" thickBot="1" x14ac:dyDescent="0.3">
      <c r="B23" s="1"/>
      <c r="C23" s="37"/>
      <c r="D23" s="37"/>
      <c r="E23" s="37"/>
      <c r="F23" s="37"/>
      <c r="G23" s="37"/>
      <c r="H23" s="38"/>
      <c r="J23" s="7" t="s">
        <v>11</v>
      </c>
      <c r="K23" s="31">
        <f>$F$7*Assumptions!C22*Assumptions!C32/10^7</f>
        <v>2.2907500000000001</v>
      </c>
      <c r="L23" s="31">
        <f>$F$7*Assumptions!D22*Assumptions!D32/10^7</f>
        <v>2.4511025000000002</v>
      </c>
      <c r="M23" s="31">
        <f>$F$7*Assumptions!E22*Assumptions!E32/10^7</f>
        <v>1.124005575</v>
      </c>
      <c r="N23" s="31">
        <f>$F$7*Assumptions!F22*Assumptions!F32/10^7</f>
        <v>1.2026859652499999</v>
      </c>
    </row>
    <row r="24" spans="2:14" ht="16.5" thickTop="1" thickBot="1" x14ac:dyDescent="0.3">
      <c r="B24" s="5" t="s">
        <v>67</v>
      </c>
      <c r="C24" s="43">
        <f t="shared" ref="C24:H24" si="5">C17-C22</f>
        <v>-4.5701577250000005</v>
      </c>
      <c r="D24" s="43">
        <f t="shared" si="5"/>
        <v>5.1402005953899987</v>
      </c>
      <c r="E24" s="43">
        <f t="shared" si="5"/>
        <v>16.595500414666098</v>
      </c>
      <c r="F24" s="43">
        <f t="shared" si="5"/>
        <v>28.787292552407148</v>
      </c>
      <c r="G24" s="43">
        <f t="shared" si="5"/>
        <v>34.817882755763819</v>
      </c>
      <c r="H24" s="44">
        <f t="shared" si="5"/>
        <v>80.770718593227059</v>
      </c>
      <c r="J24" s="9"/>
      <c r="K24" s="31"/>
      <c r="L24" s="31"/>
      <c r="M24" s="31"/>
      <c r="N24" s="31"/>
    </row>
    <row r="25" spans="2:14" ht="16.5" thickTop="1" thickBot="1" x14ac:dyDescent="0.3">
      <c r="B25" s="1"/>
      <c r="C25" s="3"/>
      <c r="D25" s="3"/>
      <c r="E25" s="3"/>
      <c r="F25" s="3"/>
      <c r="G25" s="3"/>
      <c r="H25" s="27"/>
      <c r="J25" s="10" t="s">
        <v>44</v>
      </c>
      <c r="K25" s="52">
        <f>K22+K23</f>
        <v>7.5494300000000001</v>
      </c>
      <c r="L25" s="52">
        <f>L22+L23</f>
        <v>8.0778901000000012</v>
      </c>
      <c r="M25" s="52">
        <f>M22+M23</f>
        <v>3.7042896030000003</v>
      </c>
      <c r="N25" s="52">
        <f>N22+N23</f>
        <v>3.9635898752100003</v>
      </c>
    </row>
    <row r="26" spans="2:14" ht="16.5" thickTop="1" thickBot="1" x14ac:dyDescent="0.3">
      <c r="B26" s="16" t="s">
        <v>12</v>
      </c>
      <c r="C26" s="66">
        <f>Assumptions!K16</f>
        <v>0.10899999999999999</v>
      </c>
      <c r="D26" s="17"/>
      <c r="F26" s="15"/>
      <c r="H26" s="27"/>
    </row>
    <row r="27" spans="2:14" ht="16.5" thickTop="1" thickBot="1" x14ac:dyDescent="0.3">
      <c r="B27" s="18" t="s">
        <v>14</v>
      </c>
      <c r="C27" s="18">
        <f>NPV(C26,C24:G24)</f>
        <v>52.013416425660537</v>
      </c>
      <c r="D27" s="17" t="s">
        <v>19</v>
      </c>
      <c r="E27" s="28"/>
    </row>
    <row r="28" spans="2:14" ht="16.5" thickTop="1" thickBot="1" x14ac:dyDescent="0.3">
      <c r="B28" s="19" t="s">
        <v>26</v>
      </c>
      <c r="C28" s="19">
        <f>C27*20%</f>
        <v>10.402683285132108</v>
      </c>
      <c r="D28" s="17" t="s">
        <v>19</v>
      </c>
    </row>
    <row r="29" spans="2:14" ht="16.5" thickTop="1" thickBot="1" x14ac:dyDescent="0.3">
      <c r="B29" s="16" t="s">
        <v>16</v>
      </c>
      <c r="C29" s="18">
        <f>C27-C28</f>
        <v>41.610733140528431</v>
      </c>
      <c r="D29" s="17" t="s">
        <v>19</v>
      </c>
    </row>
    <row r="30" spans="2:14" ht="15.75" thickTop="1" x14ac:dyDescent="0.25"/>
  </sheetData>
  <mergeCells count="5">
    <mergeCell ref="J19:N19"/>
    <mergeCell ref="B11:H11"/>
    <mergeCell ref="J18:N18"/>
    <mergeCell ref="J4:O4"/>
    <mergeCell ref="J3:O3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Assumptions</vt:lpstr>
      <vt:lpstr>DCF for Land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Ashish Sawe</cp:lastModifiedBy>
  <dcterms:created xsi:type="dcterms:W3CDTF">2022-09-28T15:03:47Z</dcterms:created>
  <dcterms:modified xsi:type="dcterms:W3CDTF">2022-10-07T12:13:01Z</dcterms:modified>
</cp:coreProperties>
</file>