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G:\Arup\Review\VIS(2022-23)-PL266-205-391\PreparerReport\"/>
    </mc:Choice>
  </mc:AlternateContent>
  <xr:revisionPtr revIDLastSave="0" documentId="13_ncr:1_{7C1FB4F5-1D41-4747-8B70-86CD159BA9D5}" xr6:coauthVersionLast="47" xr6:coauthVersionMax="47" xr10:uidLastSave="{00000000-0000-0000-0000-000000000000}"/>
  <bookViews>
    <workbookView showVerticalScroll="0" xWindow="-120" yWindow="-120" windowWidth="21840" windowHeight="13140" xr2:uid="{00000000-000D-0000-FFFF-FFFF00000000}"/>
  </bookViews>
  <sheets>
    <sheet name="Building" sheetId="1" r:id="rId1"/>
    <sheet name="FAR" sheetId="3" r:id="rId2"/>
    <sheet name="Land" sheetId="2" r:id="rId3"/>
  </sheets>
  <definedNames>
    <definedName name="_xlnm.Print_Area" localSheetId="0">Building!$B$2:$T$12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L16" i="1" l="1"/>
  <c r="U15" i="1"/>
  <c r="T15" i="1"/>
  <c r="L26" i="1" l="1"/>
  <c r="K26" i="1"/>
  <c r="G7" i="1"/>
  <c r="F7" i="1" s="1"/>
  <c r="G6" i="1"/>
  <c r="F5" i="1"/>
  <c r="G5" i="1" s="1"/>
  <c r="F8" i="1" l="1"/>
  <c r="G8" i="1" s="1"/>
  <c r="E10" i="3" l="1"/>
  <c r="E16" i="3"/>
  <c r="E14" i="3"/>
  <c r="E15" i="3" s="1"/>
  <c r="E12" i="3"/>
  <c r="E13" i="3" s="1"/>
  <c r="P5" i="1" l="1"/>
  <c r="E17" i="3"/>
  <c r="S16" i="1" l="1"/>
  <c r="S15" i="1"/>
  <c r="P7" i="1"/>
  <c r="N7" i="1"/>
  <c r="K6" i="1"/>
  <c r="K7" i="1"/>
  <c r="Q7" i="1" l="1"/>
  <c r="R7" i="1" s="1"/>
  <c r="T7" i="1" s="1"/>
  <c r="I21" i="1" l="1"/>
  <c r="I20" i="1"/>
  <c r="P6" i="1" l="1"/>
  <c r="N6" i="1"/>
  <c r="Q6" i="1" l="1"/>
  <c r="R6" i="1" s="1"/>
  <c r="T6" i="1" l="1"/>
  <c r="P8" i="1"/>
  <c r="N5" i="1"/>
  <c r="K5" i="1" l="1"/>
  <c r="Q5" i="1" l="1"/>
  <c r="R5" i="1" s="1"/>
  <c r="R8" i="1" s="1"/>
  <c r="T5" i="1" l="1"/>
  <c r="T8" i="1" l="1"/>
  <c r="L17" i="1" s="1"/>
  <c r="P16" i="1" l="1"/>
  <c r="L18" i="1"/>
  <c r="O1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author>
  </authors>
  <commentList>
    <comment ref="R29" authorId="0" shapeId="0" xr:uid="{00000000-0006-0000-0200-000001000000}">
      <text>
        <r>
          <rPr>
            <b/>
            <sz val="9"/>
            <color indexed="81"/>
            <rFont val="Tahoma"/>
            <charset val="1"/>
          </rPr>
          <t>admin:</t>
        </r>
        <r>
          <rPr>
            <sz val="9"/>
            <color indexed="81"/>
            <rFont val="Tahoma"/>
            <charset val="1"/>
          </rPr>
          <t xml:space="preserve">
</t>
        </r>
      </text>
    </comment>
  </commentList>
</comments>
</file>

<file path=xl/sharedStrings.xml><?xml version="1.0" encoding="utf-8"?>
<sst xmlns="http://schemas.openxmlformats.org/spreadsheetml/2006/main" count="66" uniqueCount="58">
  <si>
    <t>SR. No.</t>
  </si>
  <si>
    <t>Floor</t>
  </si>
  <si>
    <t>Year of Construction</t>
  </si>
  <si>
    <t xml:space="preserve">Year of Valuation </t>
  </si>
  <si>
    <t>Type of Structure</t>
  </si>
  <si>
    <t>Salvage value</t>
  </si>
  <si>
    <t>TOTAL</t>
  </si>
  <si>
    <t>Depreciation Rate</t>
  </si>
  <si>
    <t xml:space="preserve">Depreciation
(INR) </t>
  </si>
  <si>
    <t>Depreciated Value
(INR)</t>
  </si>
  <si>
    <t>Depreciated Replacement Market Value
(INR)</t>
  </si>
  <si>
    <t>Gross Replacement Value
(INR)</t>
  </si>
  <si>
    <t>Discounting Factor</t>
  </si>
  <si>
    <r>
      <t xml:space="preserve">Total Life Consumed 
</t>
    </r>
    <r>
      <rPr>
        <b/>
        <i/>
        <sz val="10"/>
        <rFont val="Calibri"/>
        <family val="2"/>
        <scheme val="minor"/>
      </rPr>
      <t>(in years)</t>
    </r>
  </si>
  <si>
    <r>
      <t xml:space="preserve">Total Economical Life
</t>
    </r>
    <r>
      <rPr>
        <b/>
        <i/>
        <sz val="10"/>
        <rFont val="Calibri"/>
        <family val="2"/>
        <scheme val="minor"/>
      </rPr>
      <t>(in years)</t>
    </r>
  </si>
  <si>
    <r>
      <t xml:space="preserve">Plinth Area  Rate 
</t>
    </r>
    <r>
      <rPr>
        <b/>
        <i/>
        <sz val="10"/>
        <rFont val="Calibri"/>
        <family val="2"/>
        <scheme val="minor"/>
      </rPr>
      <t>(in per sq.ft)</t>
    </r>
  </si>
  <si>
    <t>Remarks:</t>
  </si>
  <si>
    <r>
      <t>3.</t>
    </r>
    <r>
      <rPr>
        <i/>
        <sz val="10"/>
        <color theme="1"/>
        <rFont val="Calibri"/>
        <family val="2"/>
        <scheme val="minor"/>
      </rPr>
      <t xml:space="preserve"> The valuation is done by considering the depreciated replacement cost approach.</t>
    </r>
  </si>
  <si>
    <t>RV</t>
  </si>
  <si>
    <t>DV</t>
  </si>
  <si>
    <t>TOTAL FMV</t>
  </si>
  <si>
    <t>Unit</t>
  </si>
  <si>
    <t>ROUND OFF</t>
  </si>
  <si>
    <t>PREMIUM</t>
  </si>
  <si>
    <t>LAND</t>
  </si>
  <si>
    <t>BUILDING</t>
  </si>
  <si>
    <t>Land value</t>
  </si>
  <si>
    <t>Circle Rate</t>
  </si>
  <si>
    <t>Unit Shed</t>
  </si>
  <si>
    <t>Particulars</t>
  </si>
  <si>
    <t>Figure</t>
  </si>
  <si>
    <t>Plot Area</t>
  </si>
  <si>
    <t>Sq.m.</t>
  </si>
  <si>
    <t>Permissiable Ground Coverage</t>
  </si>
  <si>
    <t>Permisiable FAR</t>
  </si>
  <si>
    <t>Permissiable GF Construction</t>
  </si>
  <si>
    <t>sq.ft.</t>
  </si>
  <si>
    <t>GF Area</t>
  </si>
  <si>
    <t>Remaining Permissiable FF Construction</t>
  </si>
  <si>
    <t>Permissiable FF Construction</t>
  </si>
  <si>
    <t>FF Area</t>
  </si>
  <si>
    <t>TOTAL Constructed</t>
  </si>
  <si>
    <t>TOTAL Permissiable Constructed</t>
  </si>
  <si>
    <t>Difference</t>
  </si>
  <si>
    <r>
      <t xml:space="preserve">Area
</t>
    </r>
    <r>
      <rPr>
        <b/>
        <i/>
        <sz val="10"/>
        <rFont val="Calibri"/>
        <family val="2"/>
        <scheme val="minor"/>
      </rPr>
      <t>(in sq.ft)</t>
    </r>
  </si>
  <si>
    <t>Store Room</t>
  </si>
  <si>
    <t>BUILDING VALUATION OF M/S TRUE COUNT SYSTEMS PVT. LTD.|SURAJPUR INDUSTRIAL AREA, GREATER NOIDA, UP</t>
  </si>
  <si>
    <r>
      <t xml:space="preserve">2. </t>
    </r>
    <r>
      <rPr>
        <i/>
        <sz val="10"/>
        <color theme="1"/>
        <rFont val="Calibri"/>
        <family val="2"/>
        <scheme val="minor"/>
      </rPr>
      <t>All the structure that has been taken in the area statemnet belonging to M/s. True Count System Pvt. Ltd.</t>
    </r>
  </si>
  <si>
    <t>Ground Floor + First Floor</t>
  </si>
  <si>
    <t>Gournd Floor</t>
  </si>
  <si>
    <t>Area(in sq. mtr.)</t>
  </si>
  <si>
    <t xml:space="preserve">Ground Floor </t>
  </si>
  <si>
    <t xml:space="preserve">Tin shed over steel structure bounded by brick wall with PCC flooring </t>
  </si>
  <si>
    <r>
      <t>Height (</t>
    </r>
    <r>
      <rPr>
        <b/>
        <i/>
        <sz val="10"/>
        <rFont val="Calibri"/>
        <family val="2"/>
        <scheme val="minor"/>
      </rPr>
      <t>in ft.)</t>
    </r>
  </si>
  <si>
    <t>Asbestos shed over RCC structure bounded by brick wall with PCC  flooring</t>
  </si>
  <si>
    <t>Security room &amp; Meter room</t>
  </si>
  <si>
    <t xml:space="preserve"> RCC structure bounded by brick wall with PCC  flooring</t>
  </si>
  <si>
    <r>
      <t xml:space="preserve">1. </t>
    </r>
    <r>
      <rPr>
        <i/>
        <sz val="10"/>
        <color theme="1"/>
        <rFont val="Calibri"/>
        <family val="2"/>
        <scheme val="minor"/>
      </rPr>
      <t>All the details pertaing to the building area statement such as area, floor, etc has been taken from the approved map &amp; sample measurement taken during site survey.As per the approved map no plan or other details was mentioned about the 'Store Room' hence we have considered the sample measurement taken during the site survey.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</si>
</sst>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quot;₹&quot;\ * #,##0.00_ ;_ &quot;₹&quot;\ * \-#,##0.00_ ;_ &quot;₹&quot;\ * &quot;-&quot;??_ ;_ @_ "/>
    <numFmt numFmtId="43" formatCode="_ * #,##0.00_ ;_ * \-#,##0.00_ ;_ * &quot;-&quot;??_ ;_ @_ "/>
    <numFmt numFmtId="164" formatCode="_ * #,##0_ ;_ * \-#,##0_ ;_ * &quot;-&quot;??_ ;_ @_ "/>
    <numFmt numFmtId="165" formatCode="0.0000"/>
    <numFmt numFmtId="166" formatCode="_ &quot;₹&quot;\ * #,##0_ ;_ &quot;₹&quot;\ * \-#,##0_ ;_ &quot;₹&quot;\ * &quot;-&quot;??_ ;_ @_ "/>
    <numFmt numFmtId="167" formatCode="_ [$₹-4009]\ * #,##0_ ;_ [$₹-4009]\ * \-#,##0_ ;_ [$₹-4009]\ * &quot;-&quot;??_ ;_ @_ "/>
    <numFmt numFmtId="168" formatCode="_ [$₹-4009]\ * #,##0.00_ ;_ [$₹-4009]\ * \-#,##0.00_ ;_ [$₹-4009]\ * &quot;-&quot;??_ ;_ @_ "/>
  </numFmts>
  <fonts count="15"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i/>
      <sz val="11"/>
      <color theme="1"/>
      <name val="Calibri"/>
      <family val="2"/>
      <scheme val="minor"/>
    </font>
    <font>
      <b/>
      <sz val="11"/>
      <name val="Calibri"/>
      <family val="2"/>
      <scheme val="minor"/>
    </font>
    <font>
      <b/>
      <i/>
      <sz val="10"/>
      <name val="Calibri"/>
      <family val="2"/>
      <scheme val="minor"/>
    </font>
    <font>
      <sz val="11"/>
      <name val="Calibri"/>
      <family val="2"/>
      <scheme val="minor"/>
    </font>
    <font>
      <i/>
      <sz val="11"/>
      <color theme="1"/>
      <name val="Calibri"/>
      <family val="2"/>
      <scheme val="minor"/>
    </font>
    <font>
      <sz val="11"/>
      <color theme="0"/>
      <name val="Calibri"/>
      <family val="2"/>
      <scheme val="minor"/>
    </font>
    <font>
      <sz val="9"/>
      <color indexed="81"/>
      <name val="Tahoma"/>
      <charset val="1"/>
    </font>
    <font>
      <b/>
      <sz val="9"/>
      <color indexed="81"/>
      <name val="Tahoma"/>
      <charset val="1"/>
    </font>
    <font>
      <i/>
      <sz val="10"/>
      <color theme="1"/>
      <name val="Calibri"/>
      <family val="2"/>
      <scheme val="minor"/>
    </font>
    <font>
      <b/>
      <sz val="12"/>
      <name val="Calibri"/>
      <family val="2"/>
      <scheme val="minor"/>
    </font>
    <font>
      <b/>
      <sz val="11"/>
      <color theme="0"/>
      <name val="Calibri"/>
      <family val="2"/>
      <scheme val="minor"/>
    </font>
  </fonts>
  <fills count="8">
    <fill>
      <patternFill patternType="none"/>
    </fill>
    <fill>
      <patternFill patternType="gray125"/>
    </fill>
    <fill>
      <patternFill patternType="solid">
        <fgColor theme="4" tint="0.39997558519241921"/>
        <bgColor indexed="64"/>
      </patternFill>
    </fill>
    <fill>
      <patternFill patternType="solid">
        <fgColor rgb="FF1E3661"/>
        <bgColor indexed="64"/>
      </patternFill>
    </fill>
    <fill>
      <patternFill patternType="solid">
        <fgColor theme="4" tint="-0.249977111117893"/>
        <bgColor indexed="64"/>
      </patternFill>
    </fill>
    <fill>
      <patternFill patternType="solid">
        <fgColor rgb="FFFFFF00"/>
        <bgColor indexed="64"/>
      </patternFill>
    </fill>
    <fill>
      <patternFill patternType="solid">
        <fgColor theme="4"/>
        <bgColor indexed="64"/>
      </patternFill>
    </fill>
    <fill>
      <patternFill patternType="solid">
        <fgColor theme="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87">
    <xf numFmtId="0" fontId="0" fillId="0" borderId="0" xfId="0"/>
    <xf numFmtId="164" fontId="0" fillId="0" borderId="0" xfId="0" applyNumberFormat="1"/>
    <xf numFmtId="0" fontId="0" fillId="0" borderId="1" xfId="0" applyBorder="1" applyAlignment="1">
      <alignment horizontal="center" vertical="center"/>
    </xf>
    <xf numFmtId="9" fontId="0" fillId="0" borderId="1" xfId="0" applyNumberFormat="1" applyBorder="1" applyAlignment="1">
      <alignment horizontal="center" vertical="center"/>
    </xf>
    <xf numFmtId="44" fontId="0" fillId="0" borderId="0" xfId="0" applyNumberFormat="1"/>
    <xf numFmtId="165" fontId="0" fillId="0" borderId="1" xfId="0" applyNumberFormat="1" applyBorder="1" applyAlignment="1">
      <alignment horizontal="center" vertical="center"/>
    </xf>
    <xf numFmtId="166" fontId="0" fillId="0" borderId="1" xfId="1" applyNumberFormat="1" applyFont="1" applyBorder="1" applyAlignment="1">
      <alignment horizontal="center" vertical="center"/>
    </xf>
    <xf numFmtId="166" fontId="2" fillId="0" borderId="1" xfId="1" applyNumberFormat="1" applyFont="1" applyBorder="1" applyAlignment="1">
      <alignment horizontal="center" vertical="center"/>
    </xf>
    <xf numFmtId="166" fontId="0" fillId="0" borderId="0" xfId="0" applyNumberFormat="1"/>
    <xf numFmtId="0" fontId="2" fillId="0" borderId="1" xfId="0" applyFont="1" applyBorder="1" applyAlignment="1">
      <alignment horizontal="center" vertical="center"/>
    </xf>
    <xf numFmtId="1" fontId="0" fillId="0" borderId="1" xfId="0" applyNumberFormat="1" applyBorder="1" applyAlignment="1">
      <alignment horizontal="center" vertical="center"/>
    </xf>
    <xf numFmtId="9" fontId="0" fillId="0" borderId="1" xfId="2" applyFont="1" applyBorder="1" applyAlignment="1">
      <alignment horizontal="center" vertical="center"/>
    </xf>
    <xf numFmtId="44" fontId="0" fillId="0" borderId="0" xfId="1" applyFont="1"/>
    <xf numFmtId="0" fontId="0" fillId="0" borderId="1" xfId="0" applyFill="1" applyBorder="1" applyAlignment="1">
      <alignment horizontal="center" vertical="center"/>
    </xf>
    <xf numFmtId="0" fontId="5"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7" fillId="0" borderId="0" xfId="0" applyFont="1"/>
    <xf numFmtId="0" fontId="0" fillId="0" borderId="1" xfId="0" applyBorder="1" applyAlignment="1">
      <alignment horizontal="center" vertical="center" wrapText="1"/>
    </xf>
    <xf numFmtId="0" fontId="0" fillId="0" borderId="0" xfId="0" applyAlignment="1">
      <alignment wrapText="1"/>
    </xf>
    <xf numFmtId="0" fontId="2" fillId="0" borderId="1" xfId="0" applyFont="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wrapText="1"/>
    </xf>
    <xf numFmtId="0" fontId="0" fillId="0" borderId="0" xfId="0" applyAlignment="1">
      <alignment horizontal="center"/>
    </xf>
    <xf numFmtId="0" fontId="2" fillId="6" borderId="0" xfId="0" applyFont="1" applyFill="1"/>
    <xf numFmtId="167" fontId="0" fillId="5" borderId="0" xfId="0" applyNumberFormat="1" applyFill="1"/>
    <xf numFmtId="166" fontId="2" fillId="5" borderId="0" xfId="1" applyNumberFormat="1" applyFont="1" applyFill="1"/>
    <xf numFmtId="0" fontId="13" fillId="6" borderId="0" xfId="0" applyFont="1" applyFill="1" applyAlignment="1">
      <alignment horizontal="center"/>
    </xf>
    <xf numFmtId="167" fontId="0" fillId="0" borderId="0" xfId="0" applyNumberFormat="1"/>
    <xf numFmtId="164" fontId="5" fillId="2" borderId="1" xfId="3" applyNumberFormat="1" applyFont="1" applyFill="1" applyBorder="1" applyAlignment="1">
      <alignment horizontal="center" vertical="center" wrapText="1"/>
    </xf>
    <xf numFmtId="164" fontId="2" fillId="0" borderId="1" xfId="3" applyNumberFormat="1" applyFont="1" applyBorder="1" applyAlignment="1">
      <alignment horizontal="center" vertical="center"/>
    </xf>
    <xf numFmtId="164" fontId="0" fillId="0" borderId="0" xfId="3" applyNumberFormat="1" applyFont="1" applyAlignment="1">
      <alignment horizontal="center"/>
    </xf>
    <xf numFmtId="164" fontId="0" fillId="0" borderId="1" xfId="3" applyNumberFormat="1" applyFont="1" applyBorder="1" applyAlignment="1">
      <alignment horizontal="left" vertical="center"/>
    </xf>
    <xf numFmtId="44" fontId="0" fillId="0" borderId="0" xfId="1" applyFont="1" applyAlignment="1">
      <alignment wrapText="1"/>
    </xf>
    <xf numFmtId="168" fontId="0" fillId="0" borderId="0" xfId="3" applyNumberFormat="1" applyFont="1"/>
    <xf numFmtId="0" fontId="2" fillId="7" borderId="0" xfId="0" applyFont="1" applyFill="1" applyAlignment="1">
      <alignment wrapText="1"/>
    </xf>
    <xf numFmtId="168" fontId="0" fillId="7" borderId="0" xfId="0" applyNumberFormat="1" applyFill="1" applyAlignment="1">
      <alignment horizontal="center" wrapText="1"/>
    </xf>
    <xf numFmtId="0" fontId="14" fillId="3" borderId="1" xfId="0" applyFont="1" applyFill="1" applyBorder="1" applyAlignment="1">
      <alignment horizontal="center" vertical="center" wrapText="1"/>
    </xf>
    <xf numFmtId="164" fontId="14" fillId="3" borderId="1" xfId="3" applyNumberFormat="1" applyFont="1" applyFill="1" applyBorder="1" applyAlignment="1">
      <alignment horizontal="center" vertical="center"/>
    </xf>
    <xf numFmtId="0" fontId="14" fillId="3" borderId="1" xfId="0" applyFont="1" applyFill="1" applyBorder="1" applyAlignment="1">
      <alignment horizontal="center" vertical="center"/>
    </xf>
    <xf numFmtId="0" fontId="0" fillId="0" borderId="1" xfId="0" applyBorder="1" applyAlignment="1">
      <alignment horizontal="left" vertical="center" wrapText="1"/>
    </xf>
    <xf numFmtId="164" fontId="0" fillId="0" borderId="1" xfId="3" applyNumberFormat="1" applyFont="1" applyBorder="1" applyAlignment="1">
      <alignment vertical="center"/>
    </xf>
    <xf numFmtId="0" fontId="0" fillId="0" borderId="1" xfId="0" applyBorder="1"/>
    <xf numFmtId="9" fontId="0" fillId="0" borderId="5" xfId="3" applyNumberFormat="1" applyFont="1" applyBorder="1" applyAlignment="1">
      <alignment vertical="center"/>
    </xf>
    <xf numFmtId="43" fontId="0" fillId="0" borderId="1" xfId="3" applyNumberFormat="1" applyFont="1" applyBorder="1" applyAlignment="1">
      <alignment vertical="center"/>
    </xf>
    <xf numFmtId="43" fontId="0" fillId="0" borderId="1" xfId="3" applyNumberFormat="1" applyFont="1" applyBorder="1" applyAlignment="1">
      <alignment horizontal="center" vertical="center"/>
    </xf>
    <xf numFmtId="0" fontId="0" fillId="0" borderId="1" xfId="0" applyBorder="1" applyAlignment="1">
      <alignment horizontal="left" vertical="center"/>
    </xf>
    <xf numFmtId="43" fontId="0" fillId="0" borderId="1" xfId="0" applyNumberFormat="1" applyBorder="1" applyAlignment="1">
      <alignment horizontal="center" vertical="center" wrapText="1"/>
    </xf>
    <xf numFmtId="0" fontId="0" fillId="0" borderId="1" xfId="0" applyBorder="1" applyAlignment="1">
      <alignment vertical="center" wrapText="1"/>
    </xf>
    <xf numFmtId="164" fontId="0" fillId="0" borderId="1" xfId="3" applyNumberFormat="1" applyFont="1" applyBorder="1" applyAlignment="1">
      <alignment horizontal="center" vertical="center"/>
    </xf>
    <xf numFmtId="0" fontId="0" fillId="0" borderId="1" xfId="0" applyBorder="1" applyAlignment="1">
      <alignment wrapText="1"/>
    </xf>
    <xf numFmtId="164" fontId="0" fillId="0" borderId="1" xfId="3" applyNumberFormat="1" applyFont="1" applyBorder="1" applyAlignment="1">
      <alignment horizontal="center"/>
    </xf>
    <xf numFmtId="43" fontId="0" fillId="0" borderId="0" xfId="0" applyNumberFormat="1"/>
    <xf numFmtId="0" fontId="14" fillId="3" borderId="0" xfId="0" applyFont="1" applyFill="1" applyBorder="1" applyAlignment="1">
      <alignment horizontal="center" vertical="center"/>
    </xf>
    <xf numFmtId="0" fontId="0" fillId="0" borderId="0" xfId="0" applyBorder="1"/>
    <xf numFmtId="0" fontId="0" fillId="0" borderId="0" xfId="0" applyBorder="1" applyAlignment="1">
      <alignment horizontal="center" vertical="center"/>
    </xf>
    <xf numFmtId="164" fontId="2" fillId="0" borderId="1" xfId="0" applyNumberFormat="1" applyFont="1" applyBorder="1" applyAlignment="1">
      <alignment horizontal="center" vertical="center"/>
    </xf>
    <xf numFmtId="0" fontId="0" fillId="0" borderId="0" xfId="0" applyBorder="1" applyAlignment="1">
      <alignment horizontal="left" vertical="center" wrapText="1"/>
    </xf>
    <xf numFmtId="164" fontId="0" fillId="0" borderId="0" xfId="3" applyNumberFormat="1" applyFont="1" applyBorder="1" applyAlignment="1">
      <alignment vertical="center"/>
    </xf>
    <xf numFmtId="9" fontId="0" fillId="0" borderId="0" xfId="3" applyNumberFormat="1" applyFont="1" applyBorder="1" applyAlignment="1">
      <alignment vertical="center"/>
    </xf>
    <xf numFmtId="43" fontId="0" fillId="0" borderId="0" xfId="3" applyNumberFormat="1" applyFont="1" applyBorder="1" applyAlignment="1">
      <alignment vertical="center"/>
    </xf>
    <xf numFmtId="164" fontId="0" fillId="0" borderId="0" xfId="3" applyNumberFormat="1" applyFont="1" applyBorder="1" applyAlignment="1">
      <alignment horizontal="center" vertical="center"/>
    </xf>
    <xf numFmtId="43" fontId="0" fillId="0" borderId="0" xfId="0" applyNumberFormat="1" applyBorder="1" applyAlignment="1">
      <alignment horizontal="center" vertical="center" wrapText="1"/>
    </xf>
    <xf numFmtId="0" fontId="0" fillId="0" borderId="0" xfId="0" applyBorder="1" applyAlignment="1">
      <alignment vertical="center" wrapText="1"/>
    </xf>
    <xf numFmtId="43" fontId="0" fillId="0" borderId="0" xfId="3" applyNumberFormat="1" applyFont="1" applyBorder="1" applyAlignment="1">
      <alignment horizontal="center" vertical="center"/>
    </xf>
    <xf numFmtId="0" fontId="0" fillId="0" borderId="0" xfId="0" applyBorder="1" applyAlignment="1">
      <alignment wrapText="1"/>
    </xf>
    <xf numFmtId="164" fontId="0" fillId="0" borderId="0" xfId="3" applyNumberFormat="1" applyFont="1" applyBorder="1" applyAlignment="1">
      <alignment horizontal="center"/>
    </xf>
    <xf numFmtId="0" fontId="14" fillId="0" borderId="0" xfId="0" applyFont="1" applyFill="1" applyBorder="1" applyAlignment="1">
      <alignment horizontal="center" vertical="center" wrapText="1"/>
    </xf>
    <xf numFmtId="164" fontId="14" fillId="0" borderId="0" xfId="3" applyNumberFormat="1" applyFont="1" applyFill="1" applyBorder="1" applyAlignment="1">
      <alignment horizontal="center" vertical="center"/>
    </xf>
    <xf numFmtId="0" fontId="14" fillId="0" borderId="0" xfId="0" applyFont="1" applyFill="1" applyBorder="1" applyAlignment="1">
      <alignment horizontal="center" vertical="center"/>
    </xf>
    <xf numFmtId="0" fontId="8" fillId="0" borderId="1" xfId="0" applyFont="1" applyBorder="1" applyAlignment="1">
      <alignment horizontal="left" vertical="center"/>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8" fillId="0" borderId="1" xfId="0" applyFont="1" applyBorder="1" applyAlignment="1">
      <alignment horizontal="left" vertical="center" wrapText="1"/>
    </xf>
    <xf numFmtId="0" fontId="4" fillId="0" borderId="1" xfId="0" applyFont="1" applyBorder="1" applyAlignment="1">
      <alignment horizontal="left" vertical="center"/>
    </xf>
    <xf numFmtId="0" fontId="0" fillId="0" borderId="0" xfId="0" applyAlignment="1">
      <alignment horizontal="center" wrapText="1"/>
    </xf>
    <xf numFmtId="0" fontId="0" fillId="0" borderId="0" xfId="0" applyBorder="1" applyAlignment="1">
      <alignment horizontal="center"/>
    </xf>
    <xf numFmtId="43" fontId="0" fillId="0" borderId="0" xfId="0" applyNumberFormat="1" applyAlignment="1">
      <alignment horizontal="center" wrapText="1"/>
    </xf>
    <xf numFmtId="0" fontId="8" fillId="0" borderId="1" xfId="0" applyFont="1" applyFill="1" applyBorder="1" applyAlignment="1">
      <alignment horizontal="left" vertical="center" wrapText="1"/>
    </xf>
    <xf numFmtId="0" fontId="2" fillId="6" borderId="1" xfId="0" applyFont="1" applyFill="1" applyBorder="1"/>
    <xf numFmtId="167" fontId="0" fillId="5" borderId="1" xfId="0" applyNumberFormat="1" applyFill="1" applyBorder="1"/>
    <xf numFmtId="0" fontId="2" fillId="6" borderId="1" xfId="0" applyFont="1" applyFill="1" applyBorder="1" applyAlignment="1">
      <alignment wrapText="1"/>
    </xf>
    <xf numFmtId="167" fontId="2" fillId="5" borderId="1" xfId="0" applyNumberFormat="1" applyFont="1" applyFill="1" applyBorder="1"/>
  </cellXfs>
  <cellStyles count="4">
    <cellStyle name="Comma" xfId="3" builtinId="3"/>
    <cellStyle name="Currency" xfId="1" builtinId="4"/>
    <cellStyle name="Normal" xfId="0" builtinId="0"/>
    <cellStyle name="Percent" xfId="2" builtinId="5"/>
  </cellStyles>
  <dxfs count="0"/>
  <tableStyles count="0" defaultTableStyle="TableStyleMedium2" defaultPivotStyle="PivotStyleLight16"/>
  <colors>
    <mruColors>
      <color rgb="FF1E36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W32"/>
  <sheetViews>
    <sheetView tabSelected="1" topLeftCell="A7" zoomScale="85" zoomScaleNormal="85" zoomScaleSheetLayoutView="85" workbookViewId="0">
      <selection activeCell="P18" sqref="P18"/>
    </sheetView>
  </sheetViews>
  <sheetFormatPr defaultRowHeight="15" x14ac:dyDescent="0.25"/>
  <cols>
    <col min="2" max="2" width="7.28515625" bestFit="1" customWidth="1"/>
    <col min="3" max="3" width="15.7109375" style="18" customWidth="1"/>
    <col min="4" max="4" width="14.5703125" style="18" customWidth="1"/>
    <col min="5" max="5" width="26.42578125" style="18" customWidth="1"/>
    <col min="6" max="6" width="11.85546875" style="79" hidden="1" customWidth="1"/>
    <col min="7" max="7" width="10.28515625" style="30" customWidth="1"/>
    <col min="8" max="8" width="8.85546875" customWidth="1"/>
    <col min="9" max="9" width="17" bestFit="1" customWidth="1"/>
    <col min="10" max="10" width="10.28515625" customWidth="1"/>
    <col min="11" max="11" width="10" customWidth="1"/>
    <col min="12" max="12" width="14.5703125" customWidth="1"/>
    <col min="13" max="13" width="7.7109375" hidden="1" customWidth="1"/>
    <col min="14" max="14" width="16.42578125" hidden="1" customWidth="1"/>
    <col min="15" max="15" width="16" bestFit="1" customWidth="1"/>
    <col min="16" max="16" width="14.42578125" customWidth="1"/>
    <col min="17" max="17" width="13.42578125" customWidth="1"/>
    <col min="18" max="18" width="16.140625" hidden="1" customWidth="1"/>
    <col min="19" max="19" width="11.28515625" hidden="1" customWidth="1"/>
    <col min="20" max="20" width="18.28515625" style="22" customWidth="1"/>
    <col min="21" max="21" width="17" bestFit="1" customWidth="1"/>
    <col min="22" max="23" width="14.28515625" bestFit="1" customWidth="1"/>
  </cols>
  <sheetData>
    <row r="3" spans="2:23" ht="15.75" customHeight="1" x14ac:dyDescent="0.25">
      <c r="B3" s="70" t="s">
        <v>46</v>
      </c>
      <c r="C3" s="71"/>
      <c r="D3" s="71"/>
      <c r="E3" s="71"/>
      <c r="F3" s="71"/>
      <c r="G3" s="71"/>
      <c r="H3" s="71"/>
      <c r="I3" s="71"/>
      <c r="J3" s="71"/>
      <c r="K3" s="71"/>
      <c r="L3" s="71"/>
      <c r="M3" s="71"/>
      <c r="N3" s="71"/>
      <c r="O3" s="71"/>
      <c r="P3" s="71"/>
      <c r="Q3" s="71"/>
      <c r="R3" s="71"/>
      <c r="S3" s="71"/>
      <c r="T3" s="72"/>
    </row>
    <row r="4" spans="2:23" s="16" customFormat="1" ht="59.25" customHeight="1" x14ac:dyDescent="0.25">
      <c r="B4" s="14" t="s">
        <v>0</v>
      </c>
      <c r="C4" s="15" t="s">
        <v>1</v>
      </c>
      <c r="D4" s="15" t="s">
        <v>21</v>
      </c>
      <c r="E4" s="15" t="s">
        <v>4</v>
      </c>
      <c r="F4" s="15" t="s">
        <v>50</v>
      </c>
      <c r="G4" s="28" t="s">
        <v>44</v>
      </c>
      <c r="H4" s="15" t="s">
        <v>53</v>
      </c>
      <c r="I4" s="15" t="s">
        <v>2</v>
      </c>
      <c r="J4" s="15" t="s">
        <v>3</v>
      </c>
      <c r="K4" s="15" t="s">
        <v>13</v>
      </c>
      <c r="L4" s="15" t="s">
        <v>14</v>
      </c>
      <c r="M4" s="15" t="s">
        <v>5</v>
      </c>
      <c r="N4" s="15" t="s">
        <v>7</v>
      </c>
      <c r="O4" s="15" t="s">
        <v>15</v>
      </c>
      <c r="P4" s="15" t="s">
        <v>11</v>
      </c>
      <c r="Q4" s="15" t="s">
        <v>8</v>
      </c>
      <c r="R4" s="15" t="s">
        <v>9</v>
      </c>
      <c r="S4" s="15" t="s">
        <v>12</v>
      </c>
      <c r="T4" s="15" t="s">
        <v>10</v>
      </c>
    </row>
    <row r="5" spans="2:23" ht="50.25" customHeight="1" x14ac:dyDescent="0.25">
      <c r="B5" s="13">
        <v>1</v>
      </c>
      <c r="C5" s="17" t="s">
        <v>48</v>
      </c>
      <c r="D5" s="17" t="s">
        <v>28</v>
      </c>
      <c r="E5" s="17" t="s">
        <v>54</v>
      </c>
      <c r="F5" s="48">
        <f>12*11.42*2</f>
        <v>274.08</v>
      </c>
      <c r="G5" s="31">
        <f>10.764*F5</f>
        <v>2950.1971199999998</v>
      </c>
      <c r="H5" s="10">
        <v>22</v>
      </c>
      <c r="I5" s="2">
        <v>2014</v>
      </c>
      <c r="J5" s="2">
        <v>2022</v>
      </c>
      <c r="K5" s="2">
        <f>J5-I5</f>
        <v>8</v>
      </c>
      <c r="L5" s="2">
        <v>60</v>
      </c>
      <c r="M5" s="3">
        <v>0.1</v>
      </c>
      <c r="N5" s="5">
        <f>(1-M5)/L5</f>
        <v>1.5000000000000001E-2</v>
      </c>
      <c r="O5" s="6">
        <v>1100</v>
      </c>
      <c r="P5" s="6">
        <f>O5*G5</f>
        <v>3245216.8319999999</v>
      </c>
      <c r="Q5" s="6">
        <f t="shared" ref="Q5" si="0">P5*N5*K5</f>
        <v>389426.01984000002</v>
      </c>
      <c r="R5" s="6">
        <f t="shared" ref="R5" si="1">MAX(P5-Q5,0)</f>
        <v>2855790.8121599997</v>
      </c>
      <c r="S5" s="11">
        <v>0.05</v>
      </c>
      <c r="T5" s="6">
        <f t="shared" ref="T5:T7" si="2">IF(R5&gt;M5*P5,R5*(1-S5),P5*M5)</f>
        <v>2713001.2715519997</v>
      </c>
      <c r="U5" s="12"/>
      <c r="V5" s="1"/>
      <c r="W5" s="1"/>
    </row>
    <row r="6" spans="2:23" ht="56.25" customHeight="1" x14ac:dyDescent="0.25">
      <c r="B6" s="13">
        <v>2</v>
      </c>
      <c r="C6" s="17" t="s">
        <v>49</v>
      </c>
      <c r="D6" s="17" t="s">
        <v>55</v>
      </c>
      <c r="E6" s="17" t="s">
        <v>56</v>
      </c>
      <c r="F6" s="48">
        <v>18.25</v>
      </c>
      <c r="G6" s="31">
        <f t="shared" ref="G6:G8" si="3">10.764*F6</f>
        <v>196.44299999999998</v>
      </c>
      <c r="H6" s="10">
        <v>10</v>
      </c>
      <c r="I6" s="2">
        <v>2014</v>
      </c>
      <c r="J6" s="2">
        <v>2022</v>
      </c>
      <c r="K6" s="2">
        <f>J6-I6</f>
        <v>8</v>
      </c>
      <c r="L6" s="2">
        <v>60</v>
      </c>
      <c r="M6" s="3">
        <v>0.1</v>
      </c>
      <c r="N6" s="5">
        <f>(1-M6)/L6</f>
        <v>1.5000000000000001E-2</v>
      </c>
      <c r="O6" s="6">
        <v>700</v>
      </c>
      <c r="P6" s="6">
        <f>O6*G6</f>
        <v>137510.09999999998</v>
      </c>
      <c r="Q6" s="6">
        <f>P6*N6*K6</f>
        <v>16501.212</v>
      </c>
      <c r="R6" s="6">
        <f>MAX(P6-Q6,0)</f>
        <v>121008.88799999998</v>
      </c>
      <c r="S6" s="11">
        <v>0.05</v>
      </c>
      <c r="T6" s="6">
        <f t="shared" si="2"/>
        <v>114958.44359999997</v>
      </c>
      <c r="U6" s="12"/>
      <c r="V6" s="1"/>
      <c r="W6" s="1"/>
    </row>
    <row r="7" spans="2:23" ht="56.25" customHeight="1" x14ac:dyDescent="0.25">
      <c r="B7" s="13">
        <v>3</v>
      </c>
      <c r="C7" s="17" t="s">
        <v>51</v>
      </c>
      <c r="D7" s="17" t="s">
        <v>45</v>
      </c>
      <c r="E7" s="17" t="s">
        <v>52</v>
      </c>
      <c r="F7" s="48">
        <f>G7/10.764</f>
        <v>91.973244147157203</v>
      </c>
      <c r="G7" s="31">
        <f>30*33</f>
        <v>990</v>
      </c>
      <c r="H7" s="10">
        <v>15</v>
      </c>
      <c r="I7" s="2">
        <v>2009</v>
      </c>
      <c r="J7" s="2">
        <v>2022</v>
      </c>
      <c r="K7" s="2">
        <f>J7-I7</f>
        <v>13</v>
      </c>
      <c r="L7" s="2">
        <v>30</v>
      </c>
      <c r="M7" s="3">
        <v>0.1</v>
      </c>
      <c r="N7" s="5">
        <f>(1-M7)/L7</f>
        <v>3.0000000000000002E-2</v>
      </c>
      <c r="O7" s="6">
        <v>600</v>
      </c>
      <c r="P7" s="6">
        <f>O7*G7</f>
        <v>594000</v>
      </c>
      <c r="Q7" s="6">
        <f>P7*N7*K7</f>
        <v>231660</v>
      </c>
      <c r="R7" s="6">
        <f>MAX(P7-Q7,0)</f>
        <v>362340</v>
      </c>
      <c r="S7" s="11">
        <v>0.05</v>
      </c>
      <c r="T7" s="6">
        <f t="shared" si="2"/>
        <v>344223</v>
      </c>
      <c r="U7" s="12"/>
      <c r="V7" s="1"/>
      <c r="W7" s="1"/>
    </row>
    <row r="8" spans="2:23" x14ac:dyDescent="0.25">
      <c r="B8" s="73" t="s">
        <v>6</v>
      </c>
      <c r="C8" s="74"/>
      <c r="D8" s="74"/>
      <c r="E8" s="75"/>
      <c r="F8" s="55">
        <f>SUM(F5:F7)</f>
        <v>384.30324414715722</v>
      </c>
      <c r="G8" s="31">
        <f t="shared" si="3"/>
        <v>4136.64012</v>
      </c>
      <c r="H8" s="9"/>
      <c r="I8" s="76"/>
      <c r="J8" s="76"/>
      <c r="K8" s="76"/>
      <c r="L8" s="76"/>
      <c r="M8" s="76"/>
      <c r="N8" s="76"/>
      <c r="O8" s="76"/>
      <c r="P8" s="7">
        <f>SUM(P5:P7)</f>
        <v>3976726.932</v>
      </c>
      <c r="Q8" s="7"/>
      <c r="R8" s="7">
        <f>SUM(R5:R7)</f>
        <v>3339139.7001599995</v>
      </c>
      <c r="S8" s="7"/>
      <c r="T8" s="7">
        <f>SUM((T5:T7))</f>
        <v>3172182.7151519996</v>
      </c>
      <c r="U8" s="12"/>
    </row>
    <row r="9" spans="2:23" x14ac:dyDescent="0.25">
      <c r="B9" s="78" t="s">
        <v>16</v>
      </c>
      <c r="C9" s="78"/>
      <c r="D9" s="78"/>
      <c r="E9" s="78"/>
      <c r="F9" s="78"/>
      <c r="G9" s="78"/>
      <c r="H9" s="78"/>
      <c r="I9" s="78"/>
      <c r="J9" s="78"/>
      <c r="K9" s="78"/>
      <c r="L9" s="78"/>
      <c r="M9" s="78"/>
      <c r="N9" s="78"/>
      <c r="O9" s="78"/>
      <c r="P9" s="78"/>
      <c r="Q9" s="78"/>
      <c r="R9" s="78"/>
      <c r="S9" s="78"/>
      <c r="T9" s="78"/>
      <c r="U9" s="12"/>
    </row>
    <row r="10" spans="2:23" ht="30.75" customHeight="1" x14ac:dyDescent="0.25">
      <c r="B10" s="82" t="s">
        <v>57</v>
      </c>
      <c r="C10" s="82"/>
      <c r="D10" s="82"/>
      <c r="E10" s="82"/>
      <c r="F10" s="82"/>
      <c r="G10" s="82"/>
      <c r="H10" s="82"/>
      <c r="I10" s="82"/>
      <c r="J10" s="82"/>
      <c r="K10" s="82"/>
      <c r="L10" s="82"/>
      <c r="M10" s="82"/>
      <c r="N10" s="82"/>
      <c r="O10" s="82"/>
      <c r="P10" s="82"/>
      <c r="Q10" s="82"/>
      <c r="R10" s="82"/>
      <c r="S10" s="82"/>
      <c r="T10" s="82"/>
      <c r="U10" s="12"/>
    </row>
    <row r="11" spans="2:23" x14ac:dyDescent="0.25">
      <c r="B11" s="77" t="s">
        <v>47</v>
      </c>
      <c r="C11" s="69"/>
      <c r="D11" s="69"/>
      <c r="E11" s="69"/>
      <c r="F11" s="69"/>
      <c r="G11" s="69"/>
      <c r="H11" s="69"/>
      <c r="I11" s="69"/>
      <c r="J11" s="69"/>
      <c r="K11" s="69"/>
      <c r="L11" s="69"/>
      <c r="M11" s="69"/>
      <c r="N11" s="69"/>
      <c r="O11" s="69"/>
      <c r="P11" s="69"/>
      <c r="Q11" s="69"/>
      <c r="R11" s="69"/>
      <c r="S11" s="69"/>
      <c r="T11" s="69"/>
      <c r="U11" s="12"/>
    </row>
    <row r="12" spans="2:23" x14ac:dyDescent="0.25">
      <c r="B12" s="69" t="s">
        <v>17</v>
      </c>
      <c r="C12" s="69"/>
      <c r="D12" s="69"/>
      <c r="E12" s="69"/>
      <c r="F12" s="69"/>
      <c r="G12" s="69"/>
      <c r="H12" s="69"/>
      <c r="I12" s="69"/>
      <c r="J12" s="69"/>
      <c r="K12" s="69"/>
      <c r="L12" s="69"/>
      <c r="M12" s="69"/>
      <c r="N12" s="69"/>
      <c r="O12" s="69"/>
      <c r="P12" s="69"/>
      <c r="Q12" s="69"/>
      <c r="R12" s="69"/>
      <c r="S12" s="69"/>
      <c r="T12" s="69"/>
      <c r="U12" s="12"/>
    </row>
    <row r="13" spans="2:23" x14ac:dyDescent="0.25">
      <c r="U13" s="12"/>
    </row>
    <row r="14" spans="2:23" x14ac:dyDescent="0.25">
      <c r="U14" s="12"/>
    </row>
    <row r="15" spans="2:23" ht="15.75" x14ac:dyDescent="0.25">
      <c r="K15" s="83" t="s">
        <v>23</v>
      </c>
      <c r="L15" s="84">
        <v>400000</v>
      </c>
      <c r="R15" s="26" t="s">
        <v>26</v>
      </c>
      <c r="S15" s="24">
        <f>L16</f>
        <v>14850000</v>
      </c>
      <c r="T15" s="22">
        <f>32*33</f>
        <v>1056</v>
      </c>
      <c r="U15" s="12">
        <f>2*T15</f>
        <v>2112</v>
      </c>
    </row>
    <row r="16" spans="2:23" ht="15.75" x14ac:dyDescent="0.25">
      <c r="K16" s="83" t="s">
        <v>24</v>
      </c>
      <c r="L16" s="84">
        <f>33000*450</f>
        <v>14850000</v>
      </c>
      <c r="P16" s="27">
        <f>L17+L15</f>
        <v>3572182.7151519996</v>
      </c>
      <c r="R16" s="26" t="s">
        <v>27</v>
      </c>
      <c r="S16" s="24">
        <f>5583.61*20000</f>
        <v>111672200</v>
      </c>
      <c r="U16" s="12"/>
    </row>
    <row r="17" spans="3:23" x14ac:dyDescent="0.25">
      <c r="K17" s="83" t="s">
        <v>25</v>
      </c>
      <c r="L17" s="84">
        <f>T8</f>
        <v>3172182.7151519996</v>
      </c>
      <c r="U17" s="12"/>
    </row>
    <row r="18" spans="3:23" ht="45" customHeight="1" x14ac:dyDescent="0.25">
      <c r="H18" s="18"/>
      <c r="I18" s="33"/>
      <c r="K18" s="85" t="s">
        <v>20</v>
      </c>
      <c r="L18" s="86">
        <f>SUM(L15:L17)</f>
        <v>18422182.715151999</v>
      </c>
      <c r="O18" s="27">
        <f>L16+L17</f>
        <v>18022182.715151999</v>
      </c>
      <c r="Q18" s="34"/>
      <c r="R18" s="18"/>
      <c r="S18" s="18"/>
      <c r="T18" s="35"/>
      <c r="U18" s="32"/>
    </row>
    <row r="19" spans="3:23" ht="30" x14ac:dyDescent="0.25">
      <c r="K19" s="85" t="s">
        <v>22</v>
      </c>
      <c r="L19" s="86">
        <v>18400000</v>
      </c>
      <c r="U19" s="12"/>
    </row>
    <row r="20" spans="3:23" x14ac:dyDescent="0.25">
      <c r="H20" s="23" t="s">
        <v>18</v>
      </c>
      <c r="I20" s="25">
        <f>0.85*L19</f>
        <v>15640000</v>
      </c>
      <c r="U20" s="12"/>
    </row>
    <row r="21" spans="3:23" x14ac:dyDescent="0.25">
      <c r="H21" s="23" t="s">
        <v>19</v>
      </c>
      <c r="I21" s="25">
        <f>0.75*L19</f>
        <v>13800000</v>
      </c>
      <c r="U21" s="12"/>
    </row>
    <row r="22" spans="3:23" ht="15" customHeight="1" x14ac:dyDescent="0.25">
      <c r="U22" s="12"/>
    </row>
    <row r="24" spans="3:23" x14ac:dyDescent="0.25">
      <c r="C24" s="66"/>
      <c r="D24" s="67"/>
      <c r="E24" s="68"/>
      <c r="F24" s="52"/>
      <c r="U24" s="8"/>
      <c r="V24" s="4"/>
      <c r="W24" s="4"/>
    </row>
    <row r="25" spans="3:23" x14ac:dyDescent="0.25">
      <c r="C25" s="56"/>
      <c r="D25" s="57"/>
      <c r="E25" s="53"/>
      <c r="F25" s="80"/>
      <c r="H25" s="54"/>
      <c r="P25" s="51"/>
    </row>
    <row r="26" spans="3:23" x14ac:dyDescent="0.25">
      <c r="C26" s="56"/>
      <c r="D26" s="58"/>
      <c r="E26" s="53"/>
      <c r="F26" s="22"/>
      <c r="J26" s="1"/>
      <c r="K26" s="51">
        <f>J26/10.7642</f>
        <v>0</v>
      </c>
      <c r="L26">
        <f>3147/450*10.764</f>
        <v>75.276239999999987</v>
      </c>
    </row>
    <row r="27" spans="3:23" x14ac:dyDescent="0.25">
      <c r="C27" s="56"/>
      <c r="D27" s="59"/>
      <c r="E27" s="53"/>
      <c r="F27" s="22"/>
    </row>
    <row r="28" spans="3:23" x14ac:dyDescent="0.25">
      <c r="C28" s="56"/>
      <c r="D28" s="60"/>
      <c r="E28" s="54"/>
      <c r="F28" s="54"/>
    </row>
    <row r="29" spans="3:23" x14ac:dyDescent="0.25">
      <c r="C29" s="56"/>
      <c r="D29" s="61"/>
      <c r="E29" s="54"/>
      <c r="F29" s="54"/>
    </row>
    <row r="30" spans="3:23" ht="15" customHeight="1" x14ac:dyDescent="0.25">
      <c r="C30" s="62"/>
      <c r="D30" s="63"/>
      <c r="E30" s="54"/>
      <c r="F30" s="54"/>
    </row>
    <row r="31" spans="3:23" x14ac:dyDescent="0.25">
      <c r="C31" s="64"/>
      <c r="D31" s="65"/>
      <c r="E31" s="54"/>
      <c r="F31" s="54"/>
    </row>
    <row r="32" spans="3:23" x14ac:dyDescent="0.25">
      <c r="F32" s="81"/>
    </row>
  </sheetData>
  <mergeCells count="7">
    <mergeCell ref="B12:T12"/>
    <mergeCell ref="B3:T3"/>
    <mergeCell ref="B8:E8"/>
    <mergeCell ref="I8:O8"/>
    <mergeCell ref="B10:T10"/>
    <mergeCell ref="B11:T11"/>
    <mergeCell ref="B9:T9"/>
  </mergeCells>
  <pageMargins left="0.31496062992125984" right="0.31496062992125984" top="0.31496062992125984" bottom="0.31496062992125984" header="0.31496062992125984" footer="0.31496062992125984"/>
  <pageSetup paperSize="9" scale="5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6:F17"/>
  <sheetViews>
    <sheetView workbookViewId="0">
      <selection activeCell="E12" sqref="E12"/>
    </sheetView>
  </sheetViews>
  <sheetFormatPr defaultRowHeight="15" x14ac:dyDescent="0.25"/>
  <cols>
    <col min="4" max="4" width="29.5703125" customWidth="1"/>
    <col min="5" max="5" width="23.85546875" customWidth="1"/>
    <col min="6" max="6" width="22.42578125" customWidth="1"/>
  </cols>
  <sheetData>
    <row r="6" spans="4:6" ht="30" x14ac:dyDescent="0.25">
      <c r="D6" s="36" t="s">
        <v>29</v>
      </c>
      <c r="E6" s="37" t="s">
        <v>30</v>
      </c>
      <c r="F6" s="38" t="s">
        <v>21</v>
      </c>
    </row>
    <row r="7" spans="4:6" x14ac:dyDescent="0.25">
      <c r="D7" s="39" t="s">
        <v>31</v>
      </c>
      <c r="E7" s="40">
        <v>5583.61</v>
      </c>
      <c r="F7" s="41" t="s">
        <v>32</v>
      </c>
    </row>
    <row r="8" spans="4:6" ht="75" x14ac:dyDescent="0.25">
      <c r="D8" s="39" t="s">
        <v>33</v>
      </c>
      <c r="E8" s="42">
        <v>0.6</v>
      </c>
    </row>
    <row r="9" spans="4:6" ht="30" x14ac:dyDescent="0.25">
      <c r="D9" s="39" t="s">
        <v>34</v>
      </c>
      <c r="E9" s="43">
        <v>1.3</v>
      </c>
    </row>
    <row r="10" spans="4:6" ht="60" x14ac:dyDescent="0.25">
      <c r="D10" s="39" t="s">
        <v>35</v>
      </c>
      <c r="E10" s="44">
        <f>E7*E8*10.76</f>
        <v>36047.786159999996</v>
      </c>
      <c r="F10" s="2" t="s">
        <v>36</v>
      </c>
    </row>
    <row r="11" spans="4:6" x14ac:dyDescent="0.25">
      <c r="D11" s="45" t="s">
        <v>37</v>
      </c>
      <c r="E11" s="29">
        <v>50612</v>
      </c>
      <c r="F11" s="2" t="s">
        <v>36</v>
      </c>
    </row>
    <row r="12" spans="4:6" ht="30" x14ac:dyDescent="0.25">
      <c r="D12" s="39" t="s">
        <v>38</v>
      </c>
      <c r="E12" s="44">
        <f>(G7*E9)-E10</f>
        <v>-36047.786159999996</v>
      </c>
      <c r="F12" s="2" t="s">
        <v>36</v>
      </c>
    </row>
    <row r="13" spans="4:6" x14ac:dyDescent="0.25">
      <c r="D13" s="39" t="s">
        <v>39</v>
      </c>
      <c r="E13" s="44">
        <f>E12</f>
        <v>-36047.786159999996</v>
      </c>
      <c r="F13" s="2" t="s">
        <v>36</v>
      </c>
    </row>
    <row r="14" spans="4:6" x14ac:dyDescent="0.25">
      <c r="D14" s="45" t="s">
        <v>40</v>
      </c>
      <c r="E14" s="46" t="e">
        <f>SUM(#REF!)</f>
        <v>#REF!</v>
      </c>
      <c r="F14" s="2" t="s">
        <v>36</v>
      </c>
    </row>
    <row r="15" spans="4:6" x14ac:dyDescent="0.25">
      <c r="D15" s="47" t="s">
        <v>41</v>
      </c>
      <c r="E15" s="44" t="e">
        <f>E11+E14</f>
        <v>#REF!</v>
      </c>
      <c r="F15" s="2" t="s">
        <v>36</v>
      </c>
    </row>
    <row r="16" spans="4:6" ht="30" x14ac:dyDescent="0.25">
      <c r="D16" s="47" t="s">
        <v>42</v>
      </c>
      <c r="E16" s="48">
        <f>G7*E9</f>
        <v>0</v>
      </c>
      <c r="F16" s="2" t="s">
        <v>36</v>
      </c>
    </row>
    <row r="17" spans="4:6" x14ac:dyDescent="0.25">
      <c r="D17" s="49" t="s">
        <v>43</v>
      </c>
      <c r="E17" s="50" t="e">
        <f>E16-E15</f>
        <v>#REF!</v>
      </c>
      <c r="F17" s="2" t="s">
        <v>36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R29"/>
  <sheetViews>
    <sheetView zoomScale="85" zoomScaleNormal="85" workbookViewId="0">
      <selection activeCell="I16" sqref="I16"/>
    </sheetView>
  </sheetViews>
  <sheetFormatPr defaultRowHeight="15" x14ac:dyDescent="0.25"/>
  <cols>
    <col min="4" max="4" width="26.7109375" bestFit="1" customWidth="1"/>
    <col min="5" max="5" width="11.28515625" bestFit="1" customWidth="1"/>
  </cols>
  <sheetData>
    <row r="5" spans="2:5" x14ac:dyDescent="0.25">
      <c r="B5" s="20"/>
      <c r="C5" s="20"/>
      <c r="D5" s="20"/>
      <c r="E5" s="21"/>
    </row>
    <row r="6" spans="2:5" x14ac:dyDescent="0.25">
      <c r="B6" s="2"/>
      <c r="C6" s="2"/>
      <c r="D6" s="2"/>
      <c r="E6" s="2"/>
    </row>
    <row r="7" spans="2:5" x14ac:dyDescent="0.25">
      <c r="B7" s="2"/>
      <c r="C7" s="2"/>
      <c r="D7" s="2"/>
      <c r="E7" s="2"/>
    </row>
    <row r="8" spans="2:5" x14ac:dyDescent="0.25">
      <c r="B8" s="2"/>
      <c r="C8" s="2"/>
      <c r="D8" s="2"/>
      <c r="E8" s="2"/>
    </row>
    <row r="9" spans="2:5" x14ac:dyDescent="0.25">
      <c r="B9" s="73"/>
      <c r="C9" s="74"/>
      <c r="D9" s="75"/>
      <c r="E9" s="19"/>
    </row>
    <row r="29" spans="18:18" x14ac:dyDescent="0.25"/>
  </sheetData>
  <mergeCells count="1">
    <mergeCell ref="B9:D9"/>
  </mergeCells>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Building</vt:lpstr>
      <vt:lpstr>FAR</vt:lpstr>
      <vt:lpstr>Land</vt:lpstr>
      <vt:lpstr>Building!Print_Area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trainee4</dc:creator>
  <cp:lastModifiedBy>Arup Banerjee</cp:lastModifiedBy>
  <cp:lastPrinted>2022-01-07T08:12:53Z</cp:lastPrinted>
  <dcterms:created xsi:type="dcterms:W3CDTF">2021-09-16T11:33:35Z</dcterms:created>
  <dcterms:modified xsi:type="dcterms:W3CDTF">2022-08-24T11:15:53Z</dcterms:modified>
</cp:coreProperties>
</file>