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In Progress Files\Gaurav Sharma\VIS(2022-23)-PL295-Q071-275-506, Ms Alicon Castalloy Ltd\"/>
    </mc:Choice>
  </mc:AlternateContent>
  <xr:revisionPtr revIDLastSave="0" documentId="13_ncr:1_{03BB5F15-6ABA-46B3-8A1A-A436860164A6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Sheet2" sheetId="5" r:id="rId2"/>
    <sheet name="Land Details" sheetId="4" r:id="rId3"/>
  </sheets>
  <definedNames>
    <definedName name="_xlnm._FilterDatabase" localSheetId="0" hidden="1">'Building Valuation'!$A$1:$R$18</definedName>
    <definedName name="_xlnm.Print_Area" localSheetId="0">'Building Valuation'!$A$1:$U$5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O31" i="1"/>
  <c r="O30" i="1"/>
  <c r="R33" i="1"/>
  <c r="Q33" i="1"/>
  <c r="T25" i="1"/>
  <c r="W25" i="1" s="1"/>
  <c r="V25" i="1"/>
  <c r="U27" i="1"/>
  <c r="S26" i="1"/>
  <c r="S23" i="1"/>
  <c r="R28" i="1"/>
  <c r="R27" i="1"/>
  <c r="R22" i="1"/>
  <c r="R25" i="1" s="1"/>
  <c r="R21" i="1"/>
  <c r="U20" i="1"/>
  <c r="B22" i="1"/>
  <c r="D18" i="1"/>
  <c r="T20" i="1" s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E17" i="1"/>
  <c r="N17" i="1" s="1"/>
  <c r="E16" i="1"/>
  <c r="N16" i="1" s="1"/>
  <c r="E15" i="1"/>
  <c r="N15" i="1" s="1"/>
  <c r="E14" i="1"/>
  <c r="N14" i="1" s="1"/>
  <c r="E13" i="1"/>
  <c r="N13" i="1" s="1"/>
  <c r="E12" i="1"/>
  <c r="N12" i="1" s="1"/>
  <c r="E11" i="1"/>
  <c r="N11" i="1" s="1"/>
  <c r="E10" i="1"/>
  <c r="N10" i="1" s="1"/>
  <c r="E9" i="1"/>
  <c r="N9" i="1" s="1"/>
  <c r="E8" i="1"/>
  <c r="N8" i="1" s="1"/>
  <c r="E7" i="1"/>
  <c r="N7" i="1" s="1"/>
  <c r="E6" i="1"/>
  <c r="N6" i="1" s="1"/>
  <c r="E5" i="1"/>
  <c r="N5" i="1" s="1"/>
  <c r="E4" i="1"/>
  <c r="N4" i="1" s="1"/>
  <c r="E3" i="1"/>
  <c r="N3" i="1" s="1"/>
  <c r="O6" i="1" l="1"/>
  <c r="P6" i="1"/>
  <c r="R6" i="1" s="1"/>
  <c r="O14" i="1"/>
  <c r="P14" i="1"/>
  <c r="R14" i="1" s="1"/>
  <c r="O7" i="1"/>
  <c r="P7" i="1"/>
  <c r="R7" i="1" s="1"/>
  <c r="O15" i="1"/>
  <c r="P15" i="1"/>
  <c r="R15" i="1" s="1"/>
  <c r="O8" i="1"/>
  <c r="P8" i="1" s="1"/>
  <c r="R8" i="1" s="1"/>
  <c r="O12" i="1"/>
  <c r="P12" i="1" s="1"/>
  <c r="R12" i="1" s="1"/>
  <c r="O16" i="1"/>
  <c r="P16" i="1" s="1"/>
  <c r="R16" i="1" s="1"/>
  <c r="O10" i="1"/>
  <c r="P10" i="1" s="1"/>
  <c r="R10" i="1" s="1"/>
  <c r="O3" i="1"/>
  <c r="P3" i="1" s="1"/>
  <c r="R3" i="1" s="1"/>
  <c r="O11" i="1"/>
  <c r="P11" i="1"/>
  <c r="R11" i="1" s="1"/>
  <c r="O4" i="1"/>
  <c r="P4" i="1" s="1"/>
  <c r="R4" i="1" s="1"/>
  <c r="O5" i="1"/>
  <c r="P5" i="1" s="1"/>
  <c r="R5" i="1" s="1"/>
  <c r="O9" i="1"/>
  <c r="P9" i="1" s="1"/>
  <c r="R9" i="1" s="1"/>
  <c r="O13" i="1"/>
  <c r="P13" i="1"/>
  <c r="R13" i="1" s="1"/>
  <c r="O17" i="1"/>
  <c r="P17" i="1" s="1"/>
  <c r="R17" i="1" s="1"/>
  <c r="I14" i="5"/>
  <c r="I13" i="5"/>
  <c r="E42" i="4" l="1"/>
  <c r="C43" i="4"/>
  <c r="C42" i="4"/>
  <c r="C41" i="4"/>
  <c r="C32" i="4"/>
  <c r="G22" i="1"/>
  <c r="E2" i="1"/>
  <c r="I2" i="1"/>
  <c r="L2" i="1"/>
  <c r="N2" i="1" l="1"/>
  <c r="N18" i="1" s="1"/>
  <c r="E18" i="1"/>
  <c r="O2" i="1"/>
  <c r="P2" i="1" l="1"/>
  <c r="O18" i="1"/>
  <c r="R2" i="1" l="1"/>
  <c r="R18" i="1" s="1"/>
  <c r="P18" i="1"/>
</calcChain>
</file>

<file path=xl/sharedStrings.xml><?xml version="1.0" encoding="utf-8"?>
<sst xmlns="http://schemas.openxmlformats.org/spreadsheetml/2006/main" count="125" uniqueCount="61">
  <si>
    <t>Floor</t>
  </si>
  <si>
    <t>Year of Construction</t>
  </si>
  <si>
    <t xml:space="preserve">Year of Valuation </t>
  </si>
  <si>
    <t>Type of Structure</t>
  </si>
  <si>
    <t>Salvage value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</si>
  <si>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</si>
  <si>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</si>
  <si>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</si>
  <si>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</si>
  <si>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</si>
  <si>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</si>
  <si>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</si>
  <si>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</si>
  <si>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</si>
  <si>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</si>
  <si>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Ground Floor</t>
  </si>
  <si>
    <t>First Floor</t>
  </si>
  <si>
    <r>
      <t xml:space="preserve">Height
</t>
    </r>
    <r>
      <rPr>
        <b/>
        <i/>
        <sz val="10"/>
        <rFont val="Calibri"/>
        <family val="2"/>
        <scheme val="minor"/>
      </rPr>
      <t>(in ft.)</t>
    </r>
  </si>
  <si>
    <t>Sr. No.</t>
  </si>
  <si>
    <t>Second Floor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</si>
  <si>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</si>
  <si>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GDW2018A20</t>
  </si>
  <si>
    <t>Government Reference number</t>
  </si>
  <si>
    <t xml:space="preserve">Certifcate No. </t>
  </si>
  <si>
    <t>Date of deed</t>
  </si>
  <si>
    <t>Khewat No.</t>
  </si>
  <si>
    <t>Khata No.</t>
  </si>
  <si>
    <t>Alicon Castalloy Limited</t>
  </si>
  <si>
    <t>Mustil No.</t>
  </si>
  <si>
    <t>Kila No.</t>
  </si>
  <si>
    <t>GD12017J19</t>
  </si>
  <si>
    <t>6/1/2/1 (2-0)</t>
  </si>
  <si>
    <t>6/1/2(5-0)</t>
  </si>
  <si>
    <t>Deed Reg. No. 2838</t>
  </si>
  <si>
    <t>Area</t>
  </si>
  <si>
    <t>Kanal</t>
  </si>
  <si>
    <t>Owner</t>
  </si>
  <si>
    <t>Deed Reg. No. 1872</t>
  </si>
  <si>
    <t>Deed Reg. No. 2374</t>
  </si>
  <si>
    <t>M/s. Enkei Castalloy Limited</t>
  </si>
  <si>
    <t xml:space="preserve">Rectangle No. </t>
  </si>
  <si>
    <t>-</t>
  </si>
  <si>
    <t>110, 115</t>
  </si>
  <si>
    <t>141, 148</t>
  </si>
  <si>
    <t>3/2(1-7), 2/1(2-15), 2/2(2-17)</t>
  </si>
  <si>
    <t>Deed Reg. No. 810</t>
  </si>
  <si>
    <t>Total Area</t>
  </si>
  <si>
    <t>sq.mtr.</t>
  </si>
  <si>
    <t>sq.yds.</t>
  </si>
  <si>
    <t>3 (8-0),4(7-5)</t>
  </si>
  <si>
    <t>Purchaser</t>
  </si>
  <si>
    <t>RCC</t>
  </si>
  <si>
    <t xml:space="preserve">Ground </t>
  </si>
  <si>
    <t>First</t>
  </si>
  <si>
    <t>Second</t>
  </si>
  <si>
    <t xml:space="preserve">Security Cabin (Ground Floor)                                                                </t>
  </si>
  <si>
    <t>Tin Shed mounted on Iron Pillers</t>
  </si>
  <si>
    <t>Cast Iron Shed</t>
  </si>
  <si>
    <t>GI Shed mounted on iron tresses resting on RCC  framed beam ,column (Brick wall)</t>
  </si>
  <si>
    <t>RCC framed pillar beam column structure on RCC slab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</si>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</sst>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0.0000%"/>
    <numFmt numFmtId="182" formatCode="0.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44" fontId="0" fillId="0" borderId="0" xfId="1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1" xfId="0" applyFill="1" applyBorder="1" applyAlignment="1">
      <alignment horizontal="center" vertical="center"/>
    </xf>
    <xf numFmtId="164" fontId="0" fillId="0" borderId="0" xfId="3" applyNumberFormat="1" applyFont="1"/>
    <xf numFmtId="3" fontId="0" fillId="0" borderId="0" xfId="0" applyNumberFormat="1"/>
    <xf numFmtId="43" fontId="0" fillId="0" borderId="0" xfId="0" applyNumberFormat="1"/>
    <xf numFmtId="166" fontId="0" fillId="0" borderId="0" xfId="2" applyNumberFormat="1" applyFont="1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5" fillId="2" borderId="1" xfId="3" applyNumberFormat="1" applyFont="1" applyFill="1" applyBorder="1" applyAlignment="1">
      <alignment horizontal="center" vertical="center"/>
    </xf>
    <xf numFmtId="43" fontId="5" fillId="2" borderId="1" xfId="3" applyNumberFormat="1" applyFont="1" applyFill="1" applyBorder="1" applyAlignment="1">
      <alignment horizontal="center" vertical="center" wrapText="1"/>
    </xf>
    <xf numFmtId="9" fontId="0" fillId="0" borderId="0" xfId="2" applyNumberFormat="1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0" xfId="3" applyNumberFormat="1" applyFont="1" applyAlignment="1"/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/>
    <xf numFmtId="164" fontId="2" fillId="0" borderId="1" xfId="3" applyNumberFormat="1" applyFont="1" applyBorder="1"/>
    <xf numFmtId="0" fontId="2" fillId="0" borderId="1" xfId="0" applyFont="1" applyBorder="1"/>
    <xf numFmtId="43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4" fontId="0" fillId="0" borderId="1" xfId="3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43" fontId="0" fillId="0" borderId="1" xfId="3" applyNumberFormat="1" applyFont="1" applyBorder="1" applyAlignment="1">
      <alignment vertical="center"/>
    </xf>
    <xf numFmtId="44" fontId="0" fillId="0" borderId="0" xfId="0" applyNumberFormat="1"/>
    <xf numFmtId="43" fontId="5" fillId="3" borderId="1" xfId="0" applyNumberFormat="1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164" fontId="5" fillId="3" borderId="1" xfId="3" applyNumberFormat="1" applyFont="1" applyFill="1" applyBorder="1"/>
    <xf numFmtId="165" fontId="5" fillId="3" borderId="1" xfId="0" applyNumberFormat="1" applyFont="1" applyFill="1" applyBorder="1"/>
    <xf numFmtId="165" fontId="5" fillId="3" borderId="1" xfId="1" applyNumberFormat="1" applyFont="1" applyFill="1" applyBorder="1" applyAlignment="1">
      <alignment vertical="center"/>
    </xf>
    <xf numFmtId="182" fontId="0" fillId="0" borderId="0" xfId="0" applyNumberFormat="1" applyAlignment="1">
      <alignment horizontal="center"/>
    </xf>
  </cellXfs>
  <cellStyles count="8">
    <cellStyle name="Comma" xfId="3" builtinId="3"/>
    <cellStyle name="Comma 2" xfId="5" xr:uid="{00000000-0005-0000-0000-000001000000}"/>
    <cellStyle name="Comma 3" xfId="7" xr:uid="{00000000-0005-0000-0000-000002000000}"/>
    <cellStyle name="Currency" xfId="1" builtinId="4"/>
    <cellStyle name="Currency 2" xfId="4" xr:uid="{00000000-0005-0000-0000-000004000000}"/>
    <cellStyle name="Currency 3" xfId="6" xr:uid="{00000000-0005-0000-0000-000005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W33"/>
  <sheetViews>
    <sheetView tabSelected="1" topLeftCell="C7" zoomScale="85" zoomScaleNormal="85" zoomScaleSheetLayoutView="85" workbookViewId="0">
      <selection activeCell="N23" sqref="N23"/>
    </sheetView>
  </sheetViews>
  <sheetFormatPr defaultRowHeight="15" x14ac:dyDescent="0.25"/>
  <cols>
    <col min="1" max="1" width="7" customWidth="1"/>
    <col min="2" max="2" width="14" customWidth="1"/>
    <col min="3" max="3" width="37.42578125" style="4" customWidth="1"/>
    <col min="4" max="4" width="10.7109375" customWidth="1"/>
    <col min="5" max="5" width="10.85546875" customWidth="1"/>
    <col min="6" max="6" width="9.7109375" style="7" customWidth="1"/>
    <col min="7" max="7" width="12" style="7" customWidth="1"/>
    <col min="8" max="8" width="15.28515625" style="7" hidden="1" customWidth="1"/>
    <col min="9" max="9" width="11.7109375" customWidth="1"/>
    <col min="10" max="10" width="14.42578125" customWidth="1"/>
    <col min="11" max="11" width="8.42578125" style="5" hidden="1" customWidth="1"/>
    <col min="12" max="12" width="11.85546875" hidden="1" customWidth="1"/>
    <col min="13" max="13" width="13.42578125" customWidth="1"/>
    <col min="14" max="14" width="18.140625" customWidth="1"/>
    <col min="15" max="15" width="17.7109375" hidden="1" customWidth="1"/>
    <col min="16" max="16" width="13.85546875" hidden="1" customWidth="1"/>
    <col min="17" max="17" width="15.28515625" hidden="1" customWidth="1"/>
    <col min="18" max="18" width="24" customWidth="1"/>
    <col min="19" max="19" width="16" bestFit="1" customWidth="1"/>
    <col min="20" max="20" width="11.42578125" customWidth="1"/>
    <col min="21" max="21" width="14.42578125" style="5" bestFit="1" customWidth="1"/>
    <col min="22" max="22" width="12.42578125" bestFit="1" customWidth="1"/>
    <col min="23" max="24" width="14.28515625" bestFit="1" customWidth="1"/>
  </cols>
  <sheetData>
    <row r="1" spans="1:23" s="3" customFormat="1" ht="51" customHeight="1" x14ac:dyDescent="0.25">
      <c r="A1" s="17" t="s">
        <v>18</v>
      </c>
      <c r="B1" s="17" t="s">
        <v>0</v>
      </c>
      <c r="C1" s="17" t="s">
        <v>3</v>
      </c>
      <c r="D1" s="18" t="s">
        <v>20</v>
      </c>
      <c r="E1" s="18" t="s">
        <v>14</v>
      </c>
      <c r="F1" s="18" t="s">
        <v>17</v>
      </c>
      <c r="G1" s="18" t="s">
        <v>1</v>
      </c>
      <c r="H1" s="18" t="s">
        <v>2</v>
      </c>
      <c r="I1" s="18" t="s">
        <v>11</v>
      </c>
      <c r="J1" s="18" t="s">
        <v>12</v>
      </c>
      <c r="K1" s="18" t="s">
        <v>4</v>
      </c>
      <c r="L1" s="18" t="s">
        <v>5</v>
      </c>
      <c r="M1" s="18" t="s">
        <v>13</v>
      </c>
      <c r="N1" s="18" t="s">
        <v>9</v>
      </c>
      <c r="O1" s="18" t="s">
        <v>6</v>
      </c>
      <c r="P1" s="18" t="s">
        <v>7</v>
      </c>
      <c r="Q1" s="18" t="s">
        <v>10</v>
      </c>
      <c r="R1" s="18" t="s">
        <v>8</v>
      </c>
    </row>
    <row r="2" spans="1:23" ht="30" customHeight="1" x14ac:dyDescent="0.25">
      <c r="A2" s="8">
        <v>1</v>
      </c>
      <c r="B2" s="46" t="s">
        <v>15</v>
      </c>
      <c r="C2" s="46" t="s">
        <v>59</v>
      </c>
      <c r="D2" s="50">
        <v>771.61</v>
      </c>
      <c r="E2" s="47">
        <f>D2*10.764</f>
        <v>8305.6100399999996</v>
      </c>
      <c r="F2" s="14">
        <v>12</v>
      </c>
      <c r="G2" s="14">
        <v>2005</v>
      </c>
      <c r="H2" s="14">
        <v>2022</v>
      </c>
      <c r="I2" s="14">
        <f>H2-G2</f>
        <v>17</v>
      </c>
      <c r="J2" s="14">
        <v>60</v>
      </c>
      <c r="K2" s="15">
        <v>0.1</v>
      </c>
      <c r="L2" s="16">
        <f>(1-K2)/J2</f>
        <v>1.5000000000000001E-2</v>
      </c>
      <c r="M2" s="48">
        <v>1500</v>
      </c>
      <c r="N2" s="48">
        <f>M2*E2</f>
        <v>12458415.059999999</v>
      </c>
      <c r="O2" s="48">
        <f>N2*L2*I2</f>
        <v>3176895.8402999998</v>
      </c>
      <c r="P2" s="48">
        <f t="shared" ref="P2:P18" si="0">MAX(N2-O2,0)</f>
        <v>9281519.2196999993</v>
      </c>
      <c r="Q2" s="49">
        <v>0</v>
      </c>
      <c r="R2" s="48">
        <f>IF(P2&gt;K2*N2,P2*(1-Q2),N2*K2)</f>
        <v>9281519.2196999993</v>
      </c>
      <c r="S2" s="2"/>
      <c r="T2" s="1"/>
      <c r="U2" s="1"/>
    </row>
    <row r="3" spans="1:23" s="7" customFormat="1" ht="30" x14ac:dyDescent="0.25">
      <c r="A3" s="8">
        <v>2</v>
      </c>
      <c r="B3" s="46" t="s">
        <v>15</v>
      </c>
      <c r="C3" s="46" t="s">
        <v>59</v>
      </c>
      <c r="D3" s="50">
        <v>294.41000000000003</v>
      </c>
      <c r="E3" s="47">
        <f t="shared" ref="E3:E17" si="1">D3*10.764</f>
        <v>3169.0292400000003</v>
      </c>
      <c r="F3" s="14">
        <v>12</v>
      </c>
      <c r="G3" s="14">
        <v>2005</v>
      </c>
      <c r="H3" s="14">
        <v>2022</v>
      </c>
      <c r="I3" s="14">
        <f t="shared" ref="I3:I17" si="2">H3-G3</f>
        <v>17</v>
      </c>
      <c r="J3" s="14">
        <v>60</v>
      </c>
      <c r="K3" s="15">
        <v>0.1</v>
      </c>
      <c r="L3" s="16">
        <f t="shared" ref="L3:L17" si="3">(1-K3)/J3</f>
        <v>1.5000000000000001E-2</v>
      </c>
      <c r="M3" s="48">
        <v>1500</v>
      </c>
      <c r="N3" s="48">
        <f t="shared" ref="N3:N17" si="4">M3*E3</f>
        <v>4753543.8600000003</v>
      </c>
      <c r="O3" s="48">
        <f t="shared" ref="O3:O17" si="5">N3*L3*I3</f>
        <v>1212153.6843000001</v>
      </c>
      <c r="P3" s="48">
        <f t="shared" si="0"/>
        <v>3541390.1757000005</v>
      </c>
      <c r="Q3" s="49"/>
      <c r="R3" s="48">
        <f t="shared" ref="R3:R17" si="6">IF(P3&gt;K3*N3,P3*(1-Q3),N3*K3)</f>
        <v>3541390.1757000005</v>
      </c>
      <c r="S3" s="2"/>
      <c r="T3" s="1"/>
      <c r="U3" s="1"/>
    </row>
    <row r="4" spans="1:23" s="7" customFormat="1" ht="45" x14ac:dyDescent="0.25">
      <c r="A4" s="8">
        <v>3</v>
      </c>
      <c r="B4" s="14" t="s">
        <v>15</v>
      </c>
      <c r="C4" s="46" t="s">
        <v>58</v>
      </c>
      <c r="D4" s="50">
        <v>3414.7710000000002</v>
      </c>
      <c r="E4" s="47">
        <f t="shared" si="1"/>
        <v>36756.595044000002</v>
      </c>
      <c r="F4" s="14">
        <v>50</v>
      </c>
      <c r="G4" s="14">
        <v>2005</v>
      </c>
      <c r="H4" s="14">
        <v>2022</v>
      </c>
      <c r="I4" s="14">
        <f t="shared" si="2"/>
        <v>17</v>
      </c>
      <c r="J4" s="14">
        <v>30</v>
      </c>
      <c r="K4" s="15">
        <v>0.1</v>
      </c>
      <c r="L4" s="16">
        <f t="shared" si="3"/>
        <v>3.0000000000000002E-2</v>
      </c>
      <c r="M4" s="48">
        <v>1500</v>
      </c>
      <c r="N4" s="48">
        <f t="shared" si="4"/>
        <v>55134892.566</v>
      </c>
      <c r="O4" s="48">
        <f t="shared" si="5"/>
        <v>28118795.208660003</v>
      </c>
      <c r="P4" s="48">
        <f t="shared" si="0"/>
        <v>27016097.357339997</v>
      </c>
      <c r="Q4" s="49">
        <v>0</v>
      </c>
      <c r="R4" s="48">
        <f t="shared" si="6"/>
        <v>27016097.357339997</v>
      </c>
      <c r="S4" s="2"/>
      <c r="T4" s="1"/>
      <c r="U4" s="1"/>
    </row>
    <row r="5" spans="1:23" s="7" customFormat="1" x14ac:dyDescent="0.25">
      <c r="A5" s="8">
        <v>4</v>
      </c>
      <c r="B5" s="14" t="s">
        <v>15</v>
      </c>
      <c r="C5" s="46" t="s">
        <v>56</v>
      </c>
      <c r="D5" s="50">
        <v>596.13</v>
      </c>
      <c r="E5" s="47">
        <f t="shared" si="1"/>
        <v>6416.7433199999996</v>
      </c>
      <c r="F5" s="14">
        <v>12</v>
      </c>
      <c r="G5" s="14">
        <v>2005</v>
      </c>
      <c r="H5" s="14">
        <v>2022</v>
      </c>
      <c r="I5" s="14">
        <f t="shared" si="2"/>
        <v>17</v>
      </c>
      <c r="J5" s="14">
        <v>30</v>
      </c>
      <c r="K5" s="15">
        <v>0.1</v>
      </c>
      <c r="L5" s="16">
        <f t="shared" si="3"/>
        <v>3.0000000000000002E-2</v>
      </c>
      <c r="M5" s="48">
        <v>700</v>
      </c>
      <c r="N5" s="48">
        <f t="shared" si="4"/>
        <v>4491720.324</v>
      </c>
      <c r="O5" s="48">
        <f t="shared" si="5"/>
        <v>2290777.3652400002</v>
      </c>
      <c r="P5" s="48">
        <f t="shared" si="0"/>
        <v>2200942.9587599998</v>
      </c>
      <c r="Q5" s="49"/>
      <c r="R5" s="48">
        <f t="shared" si="6"/>
        <v>2200942.9587599998</v>
      </c>
      <c r="S5" s="2"/>
      <c r="T5" s="1"/>
      <c r="U5" s="1"/>
    </row>
    <row r="6" spans="1:23" x14ac:dyDescent="0.25">
      <c r="A6" s="8">
        <v>5</v>
      </c>
      <c r="B6" s="46" t="s">
        <v>15</v>
      </c>
      <c r="C6" s="46" t="s">
        <v>56</v>
      </c>
      <c r="D6" s="50">
        <v>422.62</v>
      </c>
      <c r="E6" s="47">
        <f t="shared" si="1"/>
        <v>4549.0816799999993</v>
      </c>
      <c r="F6" s="14">
        <v>12</v>
      </c>
      <c r="G6" s="14">
        <v>2005</v>
      </c>
      <c r="H6" s="14">
        <v>2022</v>
      </c>
      <c r="I6" s="14">
        <f t="shared" si="2"/>
        <v>17</v>
      </c>
      <c r="J6" s="14">
        <v>30</v>
      </c>
      <c r="K6" s="15">
        <v>0.1</v>
      </c>
      <c r="L6" s="16">
        <f t="shared" si="3"/>
        <v>3.0000000000000002E-2</v>
      </c>
      <c r="M6" s="48">
        <v>700</v>
      </c>
      <c r="N6" s="48">
        <f t="shared" si="4"/>
        <v>3184357.1759999995</v>
      </c>
      <c r="O6" s="48">
        <f t="shared" si="5"/>
        <v>1624022.1597599997</v>
      </c>
      <c r="P6" s="48">
        <f t="shared" si="0"/>
        <v>1560335.0162399998</v>
      </c>
      <c r="Q6" s="21"/>
      <c r="R6" s="48">
        <f t="shared" si="6"/>
        <v>1560335.0162399998</v>
      </c>
      <c r="V6" s="2"/>
    </row>
    <row r="7" spans="1:23" x14ac:dyDescent="0.25">
      <c r="A7" s="8">
        <v>6</v>
      </c>
      <c r="B7" s="46" t="s">
        <v>15</v>
      </c>
      <c r="C7" s="46" t="s">
        <v>57</v>
      </c>
      <c r="D7" s="50">
        <v>432</v>
      </c>
      <c r="E7" s="47">
        <f t="shared" si="1"/>
        <v>4650.0479999999998</v>
      </c>
      <c r="F7" s="14">
        <v>16.5</v>
      </c>
      <c r="G7" s="28">
        <v>2018</v>
      </c>
      <c r="H7" s="14">
        <v>2022</v>
      </c>
      <c r="I7" s="14">
        <f t="shared" si="2"/>
        <v>4</v>
      </c>
      <c r="J7" s="14">
        <v>30</v>
      </c>
      <c r="K7" s="15">
        <v>0.1</v>
      </c>
      <c r="L7" s="16">
        <f t="shared" si="3"/>
        <v>3.0000000000000002E-2</v>
      </c>
      <c r="M7" s="48">
        <v>900</v>
      </c>
      <c r="N7" s="48">
        <f t="shared" si="4"/>
        <v>4185043.1999999997</v>
      </c>
      <c r="O7" s="48">
        <f t="shared" si="5"/>
        <v>502205.18400000001</v>
      </c>
      <c r="P7" s="48">
        <f t="shared" si="0"/>
        <v>3682838.0159999998</v>
      </c>
      <c r="Q7" s="21"/>
      <c r="R7" s="48">
        <f t="shared" si="6"/>
        <v>3682838.0159999998</v>
      </c>
      <c r="V7" s="2"/>
    </row>
    <row r="8" spans="1:23" x14ac:dyDescent="0.25">
      <c r="A8" s="8">
        <v>7</v>
      </c>
      <c r="B8" s="46" t="s">
        <v>15</v>
      </c>
      <c r="C8" s="46" t="s">
        <v>56</v>
      </c>
      <c r="D8" s="50">
        <v>45.7</v>
      </c>
      <c r="E8" s="47">
        <f t="shared" si="1"/>
        <v>491.91480000000001</v>
      </c>
      <c r="F8" s="14">
        <v>10</v>
      </c>
      <c r="G8" s="8">
        <v>2005</v>
      </c>
      <c r="H8" s="14">
        <v>2022</v>
      </c>
      <c r="I8" s="14">
        <f t="shared" si="2"/>
        <v>17</v>
      </c>
      <c r="J8" s="14">
        <v>30</v>
      </c>
      <c r="K8" s="15">
        <v>0.1</v>
      </c>
      <c r="L8" s="16">
        <f t="shared" si="3"/>
        <v>3.0000000000000002E-2</v>
      </c>
      <c r="M8" s="48">
        <v>650</v>
      </c>
      <c r="N8" s="48">
        <f t="shared" si="4"/>
        <v>319744.62</v>
      </c>
      <c r="O8" s="48">
        <f t="shared" si="5"/>
        <v>163069.7562</v>
      </c>
      <c r="P8" s="48">
        <f t="shared" si="0"/>
        <v>156674.86379999999</v>
      </c>
      <c r="Q8" s="21"/>
      <c r="R8" s="48">
        <f t="shared" si="6"/>
        <v>156674.86379999999</v>
      </c>
      <c r="V8" s="9"/>
      <c r="W8" s="11"/>
    </row>
    <row r="9" spans="1:23" x14ac:dyDescent="0.25">
      <c r="A9" s="8">
        <v>8</v>
      </c>
      <c r="B9" s="46" t="s">
        <v>15</v>
      </c>
      <c r="C9" s="46" t="s">
        <v>56</v>
      </c>
      <c r="D9" s="50">
        <v>30.03</v>
      </c>
      <c r="E9" s="47">
        <f t="shared" si="1"/>
        <v>323.24291999999997</v>
      </c>
      <c r="F9" s="14">
        <v>10</v>
      </c>
      <c r="G9" s="8">
        <v>2005</v>
      </c>
      <c r="H9" s="14">
        <v>2022</v>
      </c>
      <c r="I9" s="14">
        <f t="shared" si="2"/>
        <v>17</v>
      </c>
      <c r="J9" s="14">
        <v>30</v>
      </c>
      <c r="K9" s="15">
        <v>0.1</v>
      </c>
      <c r="L9" s="16">
        <f t="shared" si="3"/>
        <v>3.0000000000000002E-2</v>
      </c>
      <c r="M9" s="48">
        <v>650</v>
      </c>
      <c r="N9" s="48">
        <f t="shared" si="4"/>
        <v>210107.89799999999</v>
      </c>
      <c r="O9" s="48">
        <f t="shared" si="5"/>
        <v>107155.02798</v>
      </c>
      <c r="P9" s="48">
        <f t="shared" si="0"/>
        <v>102952.87001999999</v>
      </c>
      <c r="Q9" s="21"/>
      <c r="R9" s="48">
        <f t="shared" si="6"/>
        <v>102952.87001999999</v>
      </c>
    </row>
    <row r="10" spans="1:23" x14ac:dyDescent="0.25">
      <c r="A10" s="8">
        <v>9</v>
      </c>
      <c r="B10" s="46" t="s">
        <v>15</v>
      </c>
      <c r="C10" s="46" t="s">
        <v>56</v>
      </c>
      <c r="D10" s="50">
        <v>27.72</v>
      </c>
      <c r="E10" s="47">
        <f t="shared" si="1"/>
        <v>298.37807999999995</v>
      </c>
      <c r="F10" s="14">
        <v>10</v>
      </c>
      <c r="G10" s="8">
        <v>2005</v>
      </c>
      <c r="H10" s="14">
        <v>2022</v>
      </c>
      <c r="I10" s="14">
        <f t="shared" si="2"/>
        <v>17</v>
      </c>
      <c r="J10" s="14">
        <v>30</v>
      </c>
      <c r="K10" s="15">
        <v>0.1</v>
      </c>
      <c r="L10" s="16">
        <f t="shared" si="3"/>
        <v>3.0000000000000002E-2</v>
      </c>
      <c r="M10" s="48">
        <v>650</v>
      </c>
      <c r="N10" s="48">
        <f t="shared" si="4"/>
        <v>193945.75199999998</v>
      </c>
      <c r="O10" s="48">
        <f t="shared" si="5"/>
        <v>98912.33352</v>
      </c>
      <c r="P10" s="48">
        <f t="shared" si="0"/>
        <v>95033.418479999978</v>
      </c>
      <c r="Q10" s="21"/>
      <c r="R10" s="48">
        <f t="shared" si="6"/>
        <v>95033.418479999978</v>
      </c>
      <c r="T10" s="12"/>
    </row>
    <row r="11" spans="1:23" x14ac:dyDescent="0.25">
      <c r="A11" s="8">
        <v>10</v>
      </c>
      <c r="B11" s="46" t="s">
        <v>15</v>
      </c>
      <c r="C11" s="46" t="s">
        <v>56</v>
      </c>
      <c r="D11" s="50">
        <v>31.41</v>
      </c>
      <c r="E11" s="47">
        <f t="shared" si="1"/>
        <v>338.09724</v>
      </c>
      <c r="F11" s="14">
        <v>10</v>
      </c>
      <c r="G11" s="8">
        <v>2005</v>
      </c>
      <c r="H11" s="14">
        <v>2022</v>
      </c>
      <c r="I11" s="14">
        <f t="shared" si="2"/>
        <v>17</v>
      </c>
      <c r="J11" s="14">
        <v>30</v>
      </c>
      <c r="K11" s="15">
        <v>0.1</v>
      </c>
      <c r="L11" s="16">
        <f t="shared" si="3"/>
        <v>3.0000000000000002E-2</v>
      </c>
      <c r="M11" s="48">
        <v>650</v>
      </c>
      <c r="N11" s="48">
        <f t="shared" si="4"/>
        <v>219763.20600000001</v>
      </c>
      <c r="O11" s="48">
        <f t="shared" si="5"/>
        <v>112079.23506000001</v>
      </c>
      <c r="P11" s="48">
        <f t="shared" si="0"/>
        <v>107683.97094</v>
      </c>
      <c r="Q11" s="21"/>
      <c r="R11" s="48">
        <f t="shared" si="6"/>
        <v>107683.97094</v>
      </c>
    </row>
    <row r="12" spans="1:23" x14ac:dyDescent="0.25">
      <c r="A12" s="8">
        <v>11</v>
      </c>
      <c r="B12" s="46" t="s">
        <v>15</v>
      </c>
      <c r="C12" s="46" t="s">
        <v>56</v>
      </c>
      <c r="D12" s="50">
        <v>39.39</v>
      </c>
      <c r="E12" s="47">
        <f t="shared" si="1"/>
        <v>423.99395999999996</v>
      </c>
      <c r="F12" s="14">
        <v>16.5</v>
      </c>
      <c r="G12" s="8">
        <v>2005</v>
      </c>
      <c r="H12" s="14">
        <v>2022</v>
      </c>
      <c r="I12" s="14">
        <f t="shared" si="2"/>
        <v>17</v>
      </c>
      <c r="J12" s="14">
        <v>30</v>
      </c>
      <c r="K12" s="15">
        <v>0.1</v>
      </c>
      <c r="L12" s="16">
        <f t="shared" si="3"/>
        <v>3.0000000000000002E-2</v>
      </c>
      <c r="M12" s="48">
        <v>900</v>
      </c>
      <c r="N12" s="48">
        <f t="shared" si="4"/>
        <v>381594.56399999995</v>
      </c>
      <c r="O12" s="48">
        <f t="shared" si="5"/>
        <v>194613.22764</v>
      </c>
      <c r="P12" s="48">
        <f t="shared" si="0"/>
        <v>186981.33635999996</v>
      </c>
      <c r="Q12" s="21"/>
      <c r="R12" s="48">
        <f t="shared" si="6"/>
        <v>186981.33635999996</v>
      </c>
      <c r="U12" s="13"/>
    </row>
    <row r="13" spans="1:23" ht="45" x14ac:dyDescent="0.25">
      <c r="A13" s="8">
        <v>12</v>
      </c>
      <c r="B13" s="46" t="s">
        <v>55</v>
      </c>
      <c r="C13" s="46" t="s">
        <v>59</v>
      </c>
      <c r="D13" s="50">
        <v>45</v>
      </c>
      <c r="E13" s="47">
        <f t="shared" si="1"/>
        <v>484.38</v>
      </c>
      <c r="F13" s="14">
        <v>11</v>
      </c>
      <c r="G13" s="8">
        <v>2005</v>
      </c>
      <c r="H13" s="14">
        <v>2022</v>
      </c>
      <c r="I13" s="14">
        <f t="shared" si="2"/>
        <v>17</v>
      </c>
      <c r="J13" s="14">
        <v>60</v>
      </c>
      <c r="K13" s="15">
        <v>0.1</v>
      </c>
      <c r="L13" s="16">
        <f t="shared" si="3"/>
        <v>1.5000000000000001E-2</v>
      </c>
      <c r="M13" s="48">
        <v>1500</v>
      </c>
      <c r="N13" s="48">
        <f t="shared" si="4"/>
        <v>726570</v>
      </c>
      <c r="O13" s="48">
        <f t="shared" si="5"/>
        <v>185275.35</v>
      </c>
      <c r="P13" s="48">
        <f t="shared" si="0"/>
        <v>541294.65</v>
      </c>
      <c r="Q13" s="21"/>
      <c r="R13" s="48">
        <f t="shared" si="6"/>
        <v>541294.65</v>
      </c>
    </row>
    <row r="14" spans="1:23" ht="30" x14ac:dyDescent="0.25">
      <c r="A14" s="8">
        <v>13</v>
      </c>
      <c r="B14" s="46" t="s">
        <v>16</v>
      </c>
      <c r="C14" s="46" t="s">
        <v>59</v>
      </c>
      <c r="D14" s="50">
        <v>771.61</v>
      </c>
      <c r="E14" s="47">
        <f t="shared" si="1"/>
        <v>8305.6100399999996</v>
      </c>
      <c r="F14" s="8">
        <v>12</v>
      </c>
      <c r="G14" s="8">
        <v>2005</v>
      </c>
      <c r="H14" s="14">
        <v>2022</v>
      </c>
      <c r="I14" s="14">
        <f t="shared" si="2"/>
        <v>17</v>
      </c>
      <c r="J14" s="14">
        <v>60</v>
      </c>
      <c r="K14" s="15">
        <v>0.1</v>
      </c>
      <c r="L14" s="16">
        <f t="shared" si="3"/>
        <v>1.5000000000000001E-2</v>
      </c>
      <c r="M14" s="48">
        <v>1500</v>
      </c>
      <c r="N14" s="48">
        <f t="shared" si="4"/>
        <v>12458415.059999999</v>
      </c>
      <c r="O14" s="48">
        <f t="shared" si="5"/>
        <v>3176895.8402999998</v>
      </c>
      <c r="P14" s="48">
        <f t="shared" si="0"/>
        <v>9281519.2196999993</v>
      </c>
      <c r="Q14" s="21"/>
      <c r="R14" s="48">
        <f t="shared" si="6"/>
        <v>9281519.2196999993</v>
      </c>
      <c r="T14" s="11"/>
    </row>
    <row r="15" spans="1:23" ht="30" x14ac:dyDescent="0.25">
      <c r="A15" s="8">
        <v>14</v>
      </c>
      <c r="B15" s="46" t="s">
        <v>16</v>
      </c>
      <c r="C15" s="46" t="s">
        <v>59</v>
      </c>
      <c r="D15" s="50">
        <v>294.41000000000003</v>
      </c>
      <c r="E15" s="47">
        <f t="shared" si="1"/>
        <v>3169.0292400000003</v>
      </c>
      <c r="F15" s="8">
        <v>12</v>
      </c>
      <c r="G15" s="8">
        <v>2005</v>
      </c>
      <c r="H15" s="14">
        <v>2022</v>
      </c>
      <c r="I15" s="14">
        <f t="shared" si="2"/>
        <v>17</v>
      </c>
      <c r="J15" s="14">
        <v>60</v>
      </c>
      <c r="K15" s="15">
        <v>0.1</v>
      </c>
      <c r="L15" s="16">
        <f t="shared" si="3"/>
        <v>1.5000000000000001E-2</v>
      </c>
      <c r="M15" s="48">
        <v>1500</v>
      </c>
      <c r="N15" s="48">
        <f t="shared" si="4"/>
        <v>4753543.8600000003</v>
      </c>
      <c r="O15" s="48">
        <f t="shared" si="5"/>
        <v>1212153.6843000001</v>
      </c>
      <c r="P15" s="48">
        <f t="shared" si="0"/>
        <v>3541390.1757000005</v>
      </c>
      <c r="Q15" s="21"/>
      <c r="R15" s="48">
        <f t="shared" si="6"/>
        <v>3541390.1757000005</v>
      </c>
    </row>
    <row r="16" spans="1:23" x14ac:dyDescent="0.25">
      <c r="A16" s="8">
        <v>15</v>
      </c>
      <c r="B16" s="46" t="s">
        <v>16</v>
      </c>
      <c r="C16" s="46" t="s">
        <v>57</v>
      </c>
      <c r="D16" s="50">
        <v>432</v>
      </c>
      <c r="E16" s="47">
        <f t="shared" si="1"/>
        <v>4650.0479999999998</v>
      </c>
      <c r="F16" s="8">
        <v>16.5</v>
      </c>
      <c r="G16" s="28">
        <v>2018</v>
      </c>
      <c r="H16" s="14">
        <v>2022</v>
      </c>
      <c r="I16" s="14">
        <f t="shared" si="2"/>
        <v>4</v>
      </c>
      <c r="J16" s="14">
        <v>30</v>
      </c>
      <c r="K16" s="15">
        <v>0.1</v>
      </c>
      <c r="L16" s="16">
        <f t="shared" si="3"/>
        <v>3.0000000000000002E-2</v>
      </c>
      <c r="M16" s="48">
        <v>900</v>
      </c>
      <c r="N16" s="48">
        <f t="shared" si="4"/>
        <v>4185043.1999999997</v>
      </c>
      <c r="O16" s="48">
        <f t="shared" si="5"/>
        <v>502205.18400000001</v>
      </c>
      <c r="P16" s="48">
        <f t="shared" si="0"/>
        <v>3682838.0159999998</v>
      </c>
      <c r="Q16" s="21"/>
      <c r="R16" s="48">
        <f t="shared" si="6"/>
        <v>3682838.0159999998</v>
      </c>
    </row>
    <row r="17" spans="1:23" x14ac:dyDescent="0.25">
      <c r="A17" s="8">
        <v>16</v>
      </c>
      <c r="B17" s="46" t="s">
        <v>19</v>
      </c>
      <c r="C17" s="46" t="s">
        <v>57</v>
      </c>
      <c r="D17" s="50">
        <v>432</v>
      </c>
      <c r="E17" s="47">
        <f t="shared" si="1"/>
        <v>4650.0479999999998</v>
      </c>
      <c r="F17" s="8">
        <v>16.5</v>
      </c>
      <c r="G17" s="28">
        <v>2018</v>
      </c>
      <c r="H17" s="14">
        <v>2022</v>
      </c>
      <c r="I17" s="14">
        <f t="shared" si="2"/>
        <v>4</v>
      </c>
      <c r="J17" s="14">
        <v>30</v>
      </c>
      <c r="K17" s="15">
        <v>0.1</v>
      </c>
      <c r="L17" s="16">
        <f t="shared" si="3"/>
        <v>3.0000000000000002E-2</v>
      </c>
      <c r="M17" s="48">
        <v>900</v>
      </c>
      <c r="N17" s="48">
        <f t="shared" si="4"/>
        <v>4185043.1999999997</v>
      </c>
      <c r="O17" s="48">
        <f t="shared" si="5"/>
        <v>502205.18400000001</v>
      </c>
      <c r="P17" s="48">
        <f t="shared" si="0"/>
        <v>3682838.0159999998</v>
      </c>
      <c r="Q17" s="21"/>
      <c r="R17" s="48">
        <f t="shared" si="6"/>
        <v>3682838.0159999998</v>
      </c>
    </row>
    <row r="18" spans="1:23" x14ac:dyDescent="0.25">
      <c r="A18" s="32" t="s">
        <v>60</v>
      </c>
      <c r="B18" s="32"/>
      <c r="C18" s="32"/>
      <c r="D18" s="52">
        <f>SUM(D2:D17)</f>
        <v>8080.8109999999997</v>
      </c>
      <c r="E18" s="53">
        <f>SUM(E2:E17)</f>
        <v>86981.849604000003</v>
      </c>
      <c r="F18" s="54"/>
      <c r="G18" s="55"/>
      <c r="H18" s="54"/>
      <c r="I18" s="54"/>
      <c r="J18" s="54"/>
      <c r="K18" s="56"/>
      <c r="L18" s="54"/>
      <c r="M18" s="57"/>
      <c r="N18" s="58">
        <f>SUM(N2:N17)</f>
        <v>111841743.54600002</v>
      </c>
      <c r="O18" s="58">
        <f>SUM(O2:O17)</f>
        <v>43179414.265260004</v>
      </c>
      <c r="P18" s="59">
        <f>SUM(P2:P17)</f>
        <v>68662329.280740008</v>
      </c>
      <c r="Q18" s="54"/>
      <c r="R18" s="58">
        <f>SUM(R2:R17)</f>
        <v>68662329.280740008</v>
      </c>
      <c r="T18">
        <v>2.62</v>
      </c>
      <c r="U18" s="24"/>
    </row>
    <row r="19" spans="1:23" x14ac:dyDescent="0.25">
      <c r="G19" s="10"/>
      <c r="H19" s="9"/>
      <c r="M19" s="9"/>
      <c r="N19" s="9"/>
      <c r="S19" s="51"/>
      <c r="T19">
        <v>10632</v>
      </c>
      <c r="U19" s="5">
        <v>6150.79</v>
      </c>
    </row>
    <row r="20" spans="1:23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2">
        <v>30000000</v>
      </c>
      <c r="T20" s="11">
        <f>D18/T19</f>
        <v>0.76004618133935287</v>
      </c>
      <c r="U20" s="5">
        <f>U19/T19</f>
        <v>0.57851674191121139</v>
      </c>
    </row>
    <row r="21" spans="1:23" x14ac:dyDescent="0.25">
      <c r="B21">
        <v>40000000</v>
      </c>
      <c r="G21" s="7">
        <v>283.56</v>
      </c>
      <c r="H21" s="1"/>
      <c r="R21" s="6">
        <f>T19/4046.86</f>
        <v>2.6272220931784149</v>
      </c>
      <c r="V21" s="19"/>
    </row>
    <row r="22" spans="1:23" x14ac:dyDescent="0.25">
      <c r="B22" s="9">
        <f>B21/4046.86</f>
        <v>9884.2065206110419</v>
      </c>
      <c r="G22" s="7">
        <f>G21/100</f>
        <v>2.8355999999999999</v>
      </c>
      <c r="N22">
        <f>W25/R22</f>
        <v>0.38183550194381743</v>
      </c>
      <c r="R22" s="1">
        <f>R21*R20</f>
        <v>78816662.795352444</v>
      </c>
    </row>
    <row r="23" spans="1:23" x14ac:dyDescent="0.25">
      <c r="R23">
        <v>1000000</v>
      </c>
      <c r="S23" s="51">
        <f>R18*0.8</f>
        <v>54929863.424592011</v>
      </c>
    </row>
    <row r="24" spans="1:23" x14ac:dyDescent="0.25">
      <c r="N24" s="7"/>
      <c r="R24">
        <v>2000000</v>
      </c>
    </row>
    <row r="25" spans="1:23" x14ac:dyDescent="0.25">
      <c r="R25" s="1">
        <f>R24+R23+R22+R18</f>
        <v>150478992.07609245</v>
      </c>
      <c r="S25" s="1">
        <v>6500000</v>
      </c>
      <c r="T25" s="1">
        <f>S25*2*2</f>
        <v>26000000</v>
      </c>
      <c r="U25" s="5">
        <v>0.63</v>
      </c>
      <c r="V25" s="1">
        <f>U25*S25</f>
        <v>4095000</v>
      </c>
      <c r="W25" s="1">
        <f>V25+T25</f>
        <v>30095000</v>
      </c>
    </row>
    <row r="26" spans="1:23" x14ac:dyDescent="0.25">
      <c r="R26" s="1">
        <v>150000000</v>
      </c>
      <c r="S26" s="9">
        <f>S25*R21</f>
        <v>17076943.605659697</v>
      </c>
    </row>
    <row r="27" spans="1:23" x14ac:dyDescent="0.25">
      <c r="R27" s="1">
        <f>R26*0.85</f>
        <v>127500000</v>
      </c>
      <c r="S27">
        <v>16</v>
      </c>
      <c r="T27">
        <v>505.85700000000003</v>
      </c>
      <c r="U27" s="5">
        <f>T27*S27</f>
        <v>8093.7120000000004</v>
      </c>
    </row>
    <row r="28" spans="1:23" x14ac:dyDescent="0.25">
      <c r="O28">
        <v>21</v>
      </c>
      <c r="R28" s="1">
        <f>R26*0.75</f>
        <v>112500000</v>
      </c>
      <c r="U28" s="60"/>
    </row>
    <row r="29" spans="1:23" x14ac:dyDescent="0.25">
      <c r="O29">
        <v>505.85700000000003</v>
      </c>
    </row>
    <row r="30" spans="1:23" x14ac:dyDescent="0.25">
      <c r="O30">
        <f>O29*O28</f>
        <v>10622.997000000001</v>
      </c>
    </row>
    <row r="31" spans="1:23" x14ac:dyDescent="0.25">
      <c r="O31">
        <f>O30/4046.86</f>
        <v>2.6249974053957885</v>
      </c>
      <c r="Q31">
        <v>10117</v>
      </c>
    </row>
    <row r="32" spans="1:23" x14ac:dyDescent="0.25">
      <c r="Q32">
        <v>87500000</v>
      </c>
      <c r="R32">
        <v>35000000</v>
      </c>
    </row>
    <row r="33" spans="17:18" x14ac:dyDescent="0.25">
      <c r="Q33" s="9">
        <f>Q32/Q31</f>
        <v>8648.8089354551739</v>
      </c>
      <c r="R33">
        <f>R32/4046.86</f>
        <v>8648.6807055346617</v>
      </c>
    </row>
  </sheetData>
  <autoFilter ref="A1:R18" xr:uid="{00000000-0001-0000-0100-000000000000}"/>
  <mergeCells count="1">
    <mergeCell ref="A18:C18"/>
  </mergeCells>
  <dataValidations disablePrompts="1" count="1">
    <dataValidation type="list" allowBlank="1" showInputMessage="1" showErrorMessage="1" sqref="C2:C3 C13:C15" xr:uid="{505FA0AC-50FB-4928-A840-A5D6442700D4}">
      <formula1>$L$2:$L$12</formula1>
    </dataValidation>
  </dataValidation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6F10-837C-4294-8671-B85A1E980766}">
  <dimension ref="A1:I14"/>
  <sheetViews>
    <sheetView workbookViewId="0">
      <selection activeCell="K17" sqref="K17"/>
    </sheetView>
  </sheetViews>
  <sheetFormatPr defaultRowHeight="15" x14ac:dyDescent="0.25"/>
  <cols>
    <col min="9" max="9" width="10" bestFit="1" customWidth="1"/>
  </cols>
  <sheetData>
    <row r="1" spans="1:9" x14ac:dyDescent="0.25">
      <c r="A1" s="23" t="s">
        <v>51</v>
      </c>
      <c r="B1" s="23"/>
    </row>
    <row r="2" spans="1:9" x14ac:dyDescent="0.25">
      <c r="A2" t="s">
        <v>52</v>
      </c>
      <c r="C2">
        <v>3828.64</v>
      </c>
      <c r="D2">
        <v>1216.22</v>
      </c>
    </row>
    <row r="3" spans="1:9" x14ac:dyDescent="0.25">
      <c r="A3" t="s">
        <v>53</v>
      </c>
      <c r="C3">
        <v>1344.13</v>
      </c>
      <c r="D3">
        <v>602.54</v>
      </c>
    </row>
    <row r="4" spans="1:9" x14ac:dyDescent="0.25">
      <c r="A4" t="s">
        <v>54</v>
      </c>
    </row>
    <row r="5" spans="1:9" x14ac:dyDescent="0.25">
      <c r="A5" s="23" t="s">
        <v>51</v>
      </c>
      <c r="B5" s="23"/>
    </row>
    <row r="6" spans="1:9" x14ac:dyDescent="0.25">
      <c r="A6" s="7" t="s">
        <v>52</v>
      </c>
    </row>
    <row r="7" spans="1:9" x14ac:dyDescent="0.25">
      <c r="A7" s="7" t="s">
        <v>53</v>
      </c>
    </row>
    <row r="8" spans="1:9" x14ac:dyDescent="0.25">
      <c r="A8" s="7" t="s">
        <v>54</v>
      </c>
    </row>
    <row r="12" spans="1:9" x14ac:dyDescent="0.25">
      <c r="I12">
        <v>16</v>
      </c>
    </row>
    <row r="13" spans="1:9" x14ac:dyDescent="0.25">
      <c r="I13">
        <f>I12*505.857</f>
        <v>8093.7120000000004</v>
      </c>
    </row>
    <row r="14" spans="1:9" x14ac:dyDescent="0.25">
      <c r="I14" s="9">
        <f>I13*1.5</f>
        <v>12140.568000000001</v>
      </c>
    </row>
  </sheetData>
  <mergeCells count="2">
    <mergeCell ref="A1:B1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822D-C9F4-4C12-BD06-33A5E9238D1D}">
  <dimension ref="A1:J43"/>
  <sheetViews>
    <sheetView topLeftCell="A22" workbookViewId="0">
      <selection activeCell="H38" sqref="H38"/>
    </sheetView>
  </sheetViews>
  <sheetFormatPr defaultRowHeight="15" x14ac:dyDescent="0.25"/>
  <cols>
    <col min="2" max="2" width="29.85546875" bestFit="1" customWidth="1"/>
    <col min="3" max="3" width="26.42578125" bestFit="1" customWidth="1"/>
    <col min="4" max="4" width="7.28515625" bestFit="1" customWidth="1"/>
    <col min="9" max="10" width="10" bestFit="1" customWidth="1"/>
  </cols>
  <sheetData>
    <row r="1" spans="1:10" x14ac:dyDescent="0.25">
      <c r="A1" s="32" t="s">
        <v>33</v>
      </c>
      <c r="B1" s="32"/>
      <c r="C1" s="32"/>
      <c r="D1" s="32"/>
    </row>
    <row r="2" spans="1:10" x14ac:dyDescent="0.25">
      <c r="A2" s="28">
        <v>1</v>
      </c>
      <c r="B2" s="28" t="s">
        <v>34</v>
      </c>
      <c r="C2" s="28">
        <v>2</v>
      </c>
      <c r="D2" s="28" t="s">
        <v>35</v>
      </c>
    </row>
    <row r="3" spans="1:10" x14ac:dyDescent="0.25">
      <c r="A3" s="28">
        <v>2</v>
      </c>
      <c r="B3" s="29" t="s">
        <v>24</v>
      </c>
      <c r="C3" s="30">
        <v>43124</v>
      </c>
      <c r="D3" s="30"/>
    </row>
    <row r="4" spans="1:10" x14ac:dyDescent="0.25">
      <c r="A4" s="28">
        <v>3</v>
      </c>
      <c r="B4" s="29" t="s">
        <v>25</v>
      </c>
      <c r="C4" s="31">
        <v>671</v>
      </c>
      <c r="D4" s="31"/>
    </row>
    <row r="5" spans="1:10" x14ac:dyDescent="0.25">
      <c r="A5" s="28">
        <v>4</v>
      </c>
      <c r="B5" s="29" t="s">
        <v>26</v>
      </c>
      <c r="C5" s="31">
        <v>798</v>
      </c>
      <c r="D5" s="31"/>
    </row>
    <row r="6" spans="1:10" s="7" customFormat="1" x14ac:dyDescent="0.25">
      <c r="A6" s="28">
        <v>5</v>
      </c>
      <c r="B6" s="29" t="s">
        <v>28</v>
      </c>
      <c r="C6" s="31">
        <v>90</v>
      </c>
      <c r="D6" s="31"/>
    </row>
    <row r="7" spans="1:10" x14ac:dyDescent="0.25">
      <c r="A7" s="28">
        <v>6</v>
      </c>
      <c r="B7" s="21" t="s">
        <v>29</v>
      </c>
      <c r="C7" s="31" t="s">
        <v>31</v>
      </c>
      <c r="D7" s="31"/>
    </row>
    <row r="8" spans="1:10" x14ac:dyDescent="0.25">
      <c r="A8" s="28">
        <v>7</v>
      </c>
      <c r="B8" s="29" t="s">
        <v>50</v>
      </c>
      <c r="C8" s="31" t="s">
        <v>27</v>
      </c>
      <c r="D8" s="31"/>
    </row>
    <row r="9" spans="1:10" x14ac:dyDescent="0.25">
      <c r="A9" s="28">
        <v>8</v>
      </c>
      <c r="B9" s="29" t="s">
        <v>22</v>
      </c>
      <c r="C9" s="31">
        <v>33262823</v>
      </c>
      <c r="D9" s="31"/>
    </row>
    <row r="10" spans="1:10" x14ac:dyDescent="0.25">
      <c r="A10" s="28">
        <v>9</v>
      </c>
      <c r="B10" s="29" t="s">
        <v>23</v>
      </c>
      <c r="C10" s="31" t="s">
        <v>21</v>
      </c>
      <c r="D10" s="31"/>
    </row>
    <row r="11" spans="1:10" x14ac:dyDescent="0.25">
      <c r="A11" s="32" t="s">
        <v>37</v>
      </c>
      <c r="B11" s="32"/>
      <c r="C11" s="32"/>
      <c r="D11" s="32"/>
    </row>
    <row r="12" spans="1:10" x14ac:dyDescent="0.25">
      <c r="A12" s="28">
        <v>1</v>
      </c>
      <c r="B12" s="29" t="s">
        <v>24</v>
      </c>
      <c r="C12" s="30">
        <v>44795</v>
      </c>
      <c r="D12" s="30"/>
    </row>
    <row r="13" spans="1:10" x14ac:dyDescent="0.25">
      <c r="A13" s="28">
        <v>2</v>
      </c>
      <c r="B13" s="28" t="s">
        <v>34</v>
      </c>
      <c r="C13" s="28">
        <v>3</v>
      </c>
      <c r="D13" s="28" t="s">
        <v>35</v>
      </c>
    </row>
    <row r="14" spans="1:10" x14ac:dyDescent="0.25">
      <c r="A14" s="28">
        <v>3</v>
      </c>
      <c r="B14" s="29" t="s">
        <v>25</v>
      </c>
      <c r="C14" s="31">
        <v>671</v>
      </c>
      <c r="D14" s="31"/>
    </row>
    <row r="15" spans="1:10" x14ac:dyDescent="0.25">
      <c r="A15" s="28">
        <v>4</v>
      </c>
      <c r="B15" s="29" t="s">
        <v>26</v>
      </c>
      <c r="C15" s="31">
        <v>798</v>
      </c>
      <c r="D15" s="31"/>
      <c r="I15" s="9"/>
      <c r="J15" s="11"/>
    </row>
    <row r="16" spans="1:10" x14ac:dyDescent="0.25">
      <c r="A16" s="28">
        <v>5</v>
      </c>
      <c r="B16" s="29" t="s">
        <v>28</v>
      </c>
      <c r="C16" s="31">
        <v>90</v>
      </c>
      <c r="D16" s="31"/>
    </row>
    <row r="17" spans="1:4" s="7" customFormat="1" x14ac:dyDescent="0.25">
      <c r="A17" s="28">
        <v>6</v>
      </c>
      <c r="B17" s="21" t="s">
        <v>29</v>
      </c>
      <c r="C17" s="31" t="s">
        <v>32</v>
      </c>
      <c r="D17" s="31"/>
    </row>
    <row r="18" spans="1:4" s="7" customFormat="1" x14ac:dyDescent="0.25">
      <c r="A18" s="28">
        <v>7</v>
      </c>
      <c r="B18" s="29" t="s">
        <v>36</v>
      </c>
      <c r="C18" s="31" t="s">
        <v>27</v>
      </c>
      <c r="D18" s="31"/>
    </row>
    <row r="19" spans="1:4" x14ac:dyDescent="0.25">
      <c r="A19" s="28">
        <v>8</v>
      </c>
      <c r="B19" s="29" t="s">
        <v>22</v>
      </c>
      <c r="C19" s="31">
        <v>30839592</v>
      </c>
      <c r="D19" s="31"/>
    </row>
    <row r="20" spans="1:4" x14ac:dyDescent="0.25">
      <c r="A20" s="28">
        <v>9</v>
      </c>
      <c r="B20" s="29" t="s">
        <v>23</v>
      </c>
      <c r="C20" s="31" t="s">
        <v>30</v>
      </c>
      <c r="D20" s="31"/>
    </row>
    <row r="21" spans="1:4" x14ac:dyDescent="0.25">
      <c r="A21" s="32" t="s">
        <v>38</v>
      </c>
      <c r="B21" s="32"/>
      <c r="C21" s="32"/>
      <c r="D21" s="32"/>
    </row>
    <row r="22" spans="1:4" s="7" customFormat="1" x14ac:dyDescent="0.25">
      <c r="A22" s="28">
        <v>1</v>
      </c>
      <c r="B22" s="28" t="s">
        <v>34</v>
      </c>
      <c r="C22" s="28">
        <v>15.3</v>
      </c>
      <c r="D22" s="28" t="s">
        <v>35</v>
      </c>
    </row>
    <row r="23" spans="1:4" x14ac:dyDescent="0.25">
      <c r="A23" s="28">
        <v>2</v>
      </c>
      <c r="B23" s="29" t="s">
        <v>24</v>
      </c>
      <c r="C23" s="30">
        <v>38391</v>
      </c>
      <c r="D23" s="30"/>
    </row>
    <row r="24" spans="1:4" x14ac:dyDescent="0.25">
      <c r="A24" s="28">
        <v>3</v>
      </c>
      <c r="B24" s="29" t="s">
        <v>40</v>
      </c>
      <c r="C24" s="21">
        <v>90</v>
      </c>
      <c r="D24" s="21"/>
    </row>
    <row r="25" spans="1:4" x14ac:dyDescent="0.25">
      <c r="A25" s="28">
        <v>4</v>
      </c>
      <c r="B25" s="29" t="s">
        <v>26</v>
      </c>
      <c r="C25" s="33" t="s">
        <v>41</v>
      </c>
      <c r="D25" s="21"/>
    </row>
    <row r="26" spans="1:4" x14ac:dyDescent="0.25">
      <c r="A26" s="28">
        <v>5</v>
      </c>
      <c r="B26" s="29" t="s">
        <v>28</v>
      </c>
      <c r="C26" s="33" t="s">
        <v>41</v>
      </c>
      <c r="D26" s="21"/>
    </row>
    <row r="27" spans="1:4" x14ac:dyDescent="0.25">
      <c r="A27" s="28">
        <v>6</v>
      </c>
      <c r="B27" s="21" t="s">
        <v>29</v>
      </c>
      <c r="C27" s="33" t="s">
        <v>49</v>
      </c>
      <c r="D27" s="21"/>
    </row>
    <row r="28" spans="1:4" x14ac:dyDescent="0.25">
      <c r="A28" s="28">
        <v>7</v>
      </c>
      <c r="B28" s="29" t="s">
        <v>36</v>
      </c>
      <c r="C28" s="21" t="s">
        <v>39</v>
      </c>
      <c r="D28" s="21"/>
    </row>
    <row r="29" spans="1:4" x14ac:dyDescent="0.25">
      <c r="A29" s="28">
        <v>8</v>
      </c>
      <c r="B29" s="29" t="s">
        <v>22</v>
      </c>
      <c r="C29" s="33" t="s">
        <v>41</v>
      </c>
      <c r="D29" s="21"/>
    </row>
    <row r="30" spans="1:4" x14ac:dyDescent="0.25">
      <c r="A30" s="28">
        <v>9</v>
      </c>
      <c r="B30" s="29" t="s">
        <v>23</v>
      </c>
      <c r="C30" s="33" t="s">
        <v>41</v>
      </c>
      <c r="D30" s="21"/>
    </row>
    <row r="31" spans="1:4" s="26" customFormat="1" x14ac:dyDescent="0.25">
      <c r="A31" s="32" t="s">
        <v>45</v>
      </c>
      <c r="B31" s="32"/>
      <c r="C31" s="32"/>
      <c r="D31" s="32"/>
    </row>
    <row r="32" spans="1:4" s="27" customFormat="1" x14ac:dyDescent="0.25">
      <c r="A32" s="28">
        <v>1</v>
      </c>
      <c r="B32" s="28" t="s">
        <v>34</v>
      </c>
      <c r="C32" s="34">
        <f>14/20</f>
        <v>0.7</v>
      </c>
      <c r="D32" s="28" t="s">
        <v>35</v>
      </c>
    </row>
    <row r="33" spans="1:5" x14ac:dyDescent="0.25">
      <c r="A33" s="28">
        <v>2</v>
      </c>
      <c r="B33" s="29" t="s">
        <v>24</v>
      </c>
      <c r="C33" s="30">
        <v>38527</v>
      </c>
      <c r="D33" s="30"/>
    </row>
    <row r="34" spans="1:5" x14ac:dyDescent="0.25">
      <c r="A34" s="28">
        <v>3</v>
      </c>
      <c r="B34" s="29" t="s">
        <v>25</v>
      </c>
      <c r="C34" s="40" t="s">
        <v>42</v>
      </c>
      <c r="D34" s="41"/>
    </row>
    <row r="35" spans="1:5" x14ac:dyDescent="0.25">
      <c r="A35" s="28">
        <v>4</v>
      </c>
      <c r="B35" s="29" t="s">
        <v>26</v>
      </c>
      <c r="C35" s="42" t="s">
        <v>43</v>
      </c>
      <c r="D35" s="43"/>
    </row>
    <row r="36" spans="1:5" x14ac:dyDescent="0.25">
      <c r="A36" s="28">
        <v>5</v>
      </c>
      <c r="B36" s="29" t="s">
        <v>28</v>
      </c>
      <c r="C36" s="42">
        <v>33</v>
      </c>
      <c r="D36" s="43"/>
    </row>
    <row r="37" spans="1:5" x14ac:dyDescent="0.25">
      <c r="A37" s="28">
        <v>6</v>
      </c>
      <c r="B37" s="21" t="s">
        <v>29</v>
      </c>
      <c r="C37" s="44" t="s">
        <v>44</v>
      </c>
      <c r="D37" s="45"/>
    </row>
    <row r="38" spans="1:5" x14ac:dyDescent="0.25">
      <c r="A38" s="28">
        <v>7</v>
      </c>
      <c r="B38" s="29" t="s">
        <v>36</v>
      </c>
      <c r="C38" s="44" t="s">
        <v>39</v>
      </c>
      <c r="D38" s="45"/>
    </row>
    <row r="39" spans="1:5" x14ac:dyDescent="0.25">
      <c r="A39" s="28">
        <v>8</v>
      </c>
      <c r="B39" s="29" t="s">
        <v>22</v>
      </c>
      <c r="C39" s="44" t="s">
        <v>41</v>
      </c>
      <c r="D39" s="45"/>
    </row>
    <row r="40" spans="1:5" x14ac:dyDescent="0.25">
      <c r="A40" s="28">
        <v>9</v>
      </c>
      <c r="B40" s="29" t="s">
        <v>23</v>
      </c>
      <c r="C40" s="44" t="s">
        <v>41</v>
      </c>
      <c r="D40" s="45"/>
    </row>
    <row r="41" spans="1:5" x14ac:dyDescent="0.25">
      <c r="A41" s="35" t="s">
        <v>46</v>
      </c>
      <c r="B41" s="35"/>
      <c r="C41" s="36">
        <f>C32+C22+C13+C2</f>
        <v>21</v>
      </c>
      <c r="D41" s="20" t="s">
        <v>35</v>
      </c>
    </row>
    <row r="42" spans="1:5" x14ac:dyDescent="0.25">
      <c r="A42" s="35"/>
      <c r="B42" s="35"/>
      <c r="C42" s="37">
        <f>C41*505.857</f>
        <v>10622.997000000001</v>
      </c>
      <c r="D42" s="38" t="s">
        <v>47</v>
      </c>
      <c r="E42" s="11">
        <f>C42/4046.86</f>
        <v>2.6249974053957885</v>
      </c>
    </row>
    <row r="43" spans="1:5" x14ac:dyDescent="0.25">
      <c r="A43" s="35"/>
      <c r="B43" s="35"/>
      <c r="C43" s="39">
        <f>C42*1.196</f>
        <v>12705.104412000001</v>
      </c>
      <c r="D43" s="38" t="s">
        <v>48</v>
      </c>
    </row>
  </sheetData>
  <mergeCells count="30">
    <mergeCell ref="A41:B43"/>
    <mergeCell ref="C34:D34"/>
    <mergeCell ref="C35:D35"/>
    <mergeCell ref="C36:D36"/>
    <mergeCell ref="C37:D37"/>
    <mergeCell ref="C38:D38"/>
    <mergeCell ref="C39:D39"/>
    <mergeCell ref="C40:D40"/>
    <mergeCell ref="C23:D23"/>
    <mergeCell ref="C17:D17"/>
    <mergeCell ref="C33:D33"/>
    <mergeCell ref="C18:D18"/>
    <mergeCell ref="A1:D1"/>
    <mergeCell ref="A11:D11"/>
    <mergeCell ref="A21:D21"/>
    <mergeCell ref="A31:D31"/>
    <mergeCell ref="C14:D14"/>
    <mergeCell ref="C15:D15"/>
    <mergeCell ref="C16:D16"/>
    <mergeCell ref="C19:D19"/>
    <mergeCell ref="C20:D20"/>
    <mergeCell ref="C8:D8"/>
    <mergeCell ref="C9:D9"/>
    <mergeCell ref="C10:D10"/>
    <mergeCell ref="C12:D12"/>
    <mergeCell ref="C6:D6"/>
    <mergeCell ref="C3:D3"/>
    <mergeCell ref="C4:D4"/>
    <mergeCell ref="C5:D5"/>
    <mergeCell ref="C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 Valuation</vt:lpstr>
      <vt:lpstr>Sheet2</vt:lpstr>
      <vt:lpstr>Land Details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Gaurav Sharma</cp:lastModifiedBy>
  <cp:lastPrinted>2022-01-07T08:12:53Z</cp:lastPrinted>
  <dcterms:created xsi:type="dcterms:W3CDTF">2021-09-16T11:33:35Z</dcterms:created>
  <dcterms:modified xsi:type="dcterms:W3CDTF">2022-10-11T13:53:03Z</dcterms:modified>
</cp:coreProperties>
</file>