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
    </mc:Choice>
  </mc:AlternateContent>
  <bookViews>
    <workbookView showVerticalScroll="0" xWindow="0" yWindow="0" windowWidth="20490" windowHeight="7755"/>
  </bookViews>
  <sheets>
    <sheet name="Land" sheetId="2" r:id="rId1"/>
    <sheet name="Building" sheetId="1" r:id="rId2"/>
  </sheets>
  <definedNames>
    <definedName name="_xlnm.Print_Area" localSheetId="1">Building!$B$1:$V$13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Z9" i="1"/>
  <c r="I17" i="2" l="1"/>
  <c r="D4" i="2"/>
  <c r="X4" i="1" l="1"/>
  <c r="I16" i="2" l="1"/>
  <c r="E18" i="1"/>
  <c r="F17" i="2" s="1"/>
  <c r="E17" i="1"/>
  <c r="F18" i="2" s="1"/>
  <c r="E19" i="1" l="1"/>
  <c r="G17" i="1" s="1"/>
  <c r="F15" i="2" s="1"/>
  <c r="F16" i="2" s="1"/>
  <c r="F19" i="2"/>
  <c r="F20" i="2" s="1"/>
  <c r="AF4" i="1"/>
  <c r="AD4" i="1"/>
  <c r="AA4" i="1"/>
  <c r="AG4" i="1" l="1"/>
  <c r="AH4" i="1" s="1"/>
  <c r="AJ4" i="1" s="1"/>
  <c r="G19" i="1" l="1"/>
  <c r="P4" i="1" l="1"/>
  <c r="M8" i="1"/>
  <c r="M7" i="1"/>
  <c r="M6" i="1"/>
  <c r="M5" i="1"/>
  <c r="M4" i="1"/>
  <c r="P7" i="1"/>
  <c r="P8" i="1"/>
  <c r="A5" i="2"/>
  <c r="D11" i="2" l="1"/>
  <c r="I8" i="1" l="1"/>
  <c r="R8" i="1" s="1"/>
  <c r="S8" i="1" s="1"/>
  <c r="T8" i="1" s="1"/>
  <c r="G1" i="1"/>
  <c r="B5" i="2"/>
  <c r="I7" i="1" l="1"/>
  <c r="R4" i="1"/>
  <c r="S4" i="1" s="1"/>
  <c r="V8" i="1"/>
  <c r="R7" i="1" l="1"/>
  <c r="S7" i="1" s="1"/>
  <c r="T7" i="1" s="1"/>
  <c r="V7" i="1" s="1"/>
  <c r="T4" i="1"/>
  <c r="V4" i="1" s="1"/>
  <c r="I18" i="2"/>
  <c r="I20" i="2" s="1"/>
  <c r="B8" i="2" l="1"/>
  <c r="I9" i="1" l="1"/>
  <c r="G9" i="1" l="1"/>
  <c r="R9" i="1" l="1"/>
  <c r="T9" i="1" l="1"/>
  <c r="V9" i="1" l="1"/>
  <c r="C8" i="2" l="1"/>
  <c r="D8" i="2" s="1"/>
</calcChain>
</file>

<file path=xl/sharedStrings.xml><?xml version="1.0" encoding="utf-8"?>
<sst xmlns="http://schemas.openxmlformats.org/spreadsheetml/2006/main" count="95" uniqueCount="78">
  <si>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</si>
  <si>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</si>
  <si>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</si>
  <si>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</si>
  <si>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</si>
  <si>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</si>
  <si>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</si>
  <si>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</si>
  <si>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</si>
  <si>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</si>
  <si>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</si>
  <si>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</si>
  <si>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</si>
  <si>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</si>
  <si>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</si>
  <si>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t>Remarks:</t>
  </si>
  <si>
    <t>Ground Floor</t>
  </si>
  <si>
    <r>
      <t>3.</t>
    </r>
    <r>
      <rPr>
        <i/>
        <sz val="10"/>
        <color theme="1"/>
        <rFont val="Calibri"/>
        <family val="2"/>
        <scheme val="minor"/>
      </rPr>
      <t xml:space="preserve"> The valuation is done by considering the depreciated replacement cost approach.</t>
    </r>
  </si>
  <si>
    <t>Unit</t>
  </si>
  <si>
    <t>Area Considered for valuation
(in sq.ft)</t>
  </si>
  <si>
    <r>
      <t xml:space="preserve">Plinth Area  Average Rate 
</t>
    </r>
    <r>
      <rPr>
        <b/>
        <i/>
        <sz val="10"/>
        <rFont val="Calibri"/>
        <family val="2"/>
        <scheme val="minor"/>
      </rPr>
      <t>(in per sq.ft)</t>
    </r>
  </si>
  <si>
    <t>LAND VALUATION</t>
  </si>
  <si>
    <t>Value</t>
  </si>
  <si>
    <t>LAND + BUILDING</t>
  </si>
  <si>
    <t xml:space="preserve">Land </t>
  </si>
  <si>
    <t>Total</t>
  </si>
  <si>
    <t>FMV</t>
  </si>
  <si>
    <t>per sqm for land</t>
  </si>
  <si>
    <t>per sqm for building</t>
  </si>
  <si>
    <t>Building Area in Sqm</t>
  </si>
  <si>
    <t>Building Area in Sqft</t>
  </si>
  <si>
    <t>RV @ 15% Less</t>
  </si>
  <si>
    <t>DV @ 25% Less</t>
  </si>
  <si>
    <t>Land Circle Rate</t>
  </si>
  <si>
    <t>Building Circle Rate</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</si>
  <si>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</si>
  <si>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</si>
  <si>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</si>
  <si>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Sno.</t>
  </si>
  <si>
    <t>Block no.</t>
  </si>
  <si>
    <t>Guard Room</t>
  </si>
  <si>
    <r>
      <t xml:space="preserve">1. </t>
    </r>
    <r>
      <rPr>
        <b/>
        <i/>
        <sz val="10"/>
        <color theme="1"/>
        <rFont val="Calibri"/>
        <family val="2"/>
        <scheme val="minor"/>
      </rPr>
      <t>All the details pertaing to the building area statement such as area, floor, etc has been taken from approved building area statement has been provided to us by the bank or client and sample measurement taken during site survey.</t>
    </r>
  </si>
  <si>
    <r>
      <t xml:space="preserve">PL-176
</t>
    </r>
    <r>
      <rPr>
        <b/>
        <sz val="12"/>
        <color theme="1"/>
        <rFont val="Calibri"/>
        <family val="2"/>
        <scheme val="minor"/>
      </rPr>
      <t>(M/s MB Foods)</t>
    </r>
  </si>
  <si>
    <t>Building Area in Sqm
(RCC Structiure only)</t>
  </si>
  <si>
    <t>Shed Area</t>
  </si>
  <si>
    <t>Building Area in Sqm
(Shed Structiure only)</t>
  </si>
  <si>
    <t>12,000 for RCC &amp; 11,000 for Shed Area</t>
  </si>
  <si>
    <t>RCC Area</t>
  </si>
  <si>
    <t>Office Area</t>
  </si>
  <si>
    <t>Guard Room &amp; Toilet</t>
  </si>
  <si>
    <t>BUILDING VALUATION OF M/S. TECHNOX ENGINEERING SERVICES | PACHWADOON, DEHRADUN, UTTARKHAND</t>
  </si>
  <si>
    <r>
      <t xml:space="preserve">2. </t>
    </r>
    <r>
      <rPr>
        <i/>
        <sz val="10"/>
        <color theme="1"/>
        <rFont val="Calibri"/>
        <family val="2"/>
        <scheme val="minor"/>
      </rPr>
      <t>All the structure that has been taken in the area statemnet belonging to M/S. Technox Engineering Services</t>
    </r>
  </si>
  <si>
    <t>Production &amp; Storage area</t>
  </si>
  <si>
    <t>Permisiable Area as per approved site plan
(in sq.ft)</t>
  </si>
  <si>
    <t>Boundary wall valuation</t>
  </si>
  <si>
    <t>Wall
(in Running ft.)</t>
  </si>
  <si>
    <t>Total Life Consumed 
(in years)</t>
  </si>
  <si>
    <t>Total Economical Life
(in years)</t>
  </si>
  <si>
    <t>Plinth Area  Rate 
(in per running ft.)</t>
  </si>
  <si>
    <t>Permisiable sqft</t>
  </si>
  <si>
    <t>Considered Sqft</t>
  </si>
  <si>
    <t>Not considered sqft</t>
  </si>
  <si>
    <t>Shed area</t>
  </si>
  <si>
    <t>for valuation</t>
  </si>
  <si>
    <t>Land Area in sqm</t>
  </si>
  <si>
    <t>TOTAL VALUE
(BUILDING +WALL)</t>
  </si>
  <si>
    <t>For Gov Circle Rates</t>
  </si>
  <si>
    <t>G.I. Shed Area on Load Bearing wall and structure made of iron with  Cement Paste flooring</t>
  </si>
  <si>
    <t>RCC slab on RCC beam and column &amp; flooring of Cement Paste flooring</t>
  </si>
  <si>
    <t>Area
in Sqm</t>
  </si>
  <si>
    <t>Rates
(Per Sq.mtr.)</t>
  </si>
  <si>
    <t>Building + Wall</t>
  </si>
  <si>
    <t>For RCC Roof</t>
  </si>
  <si>
    <t>For Tin Shed Area</t>
  </si>
  <si>
    <t>Building Age factor @ 14 years</t>
  </si>
  <si>
    <t>G+mezzanine</t>
  </si>
  <si>
    <t xml:space="preserve">RCC slab on RCC beam and column </t>
  </si>
  <si>
    <r>
      <t xml:space="preserve">Actual constructed Area 
</t>
    </r>
    <r>
      <rPr>
        <b/>
        <i/>
        <sz val="10"/>
        <rFont val="Calibri"/>
        <family val="2"/>
        <scheme val="minor"/>
      </rPr>
      <t>(in sq.ft)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</si>
</sst>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quot;₹&quot;\ * #,##0.00_ ;_ &quot;₹&quot;\ * \-#,##0.00_ ;_ &quot;₹&quot;\ * &quot;-&quot;??_ ;_ @_ "/>
    <numFmt numFmtId="165" formatCode="_ * #,##0.00_ ;_ * \-#,##0.00_ ;_ * &quot;-&quot;??_ ;_ @_ "/>
    <numFmt numFmtId="166" formatCode="_ * #,##0_ ;_ * \-#,##0_ ;_ * &quot;-&quot;??_ ;_ @_ "/>
    <numFmt numFmtId="167" formatCode="_ &quot;₹&quot;\ * #,##0_ ;_ &quot;₹&quot;\ * \-#,##0_ ;_ &quot;₹&quot;\ * &quot;-&quot;??_ ;_ @_ "/>
    <numFmt numFmtId="168" formatCode="0.0"/>
    <numFmt numFmtId="169" formatCode="0.0000"/>
    <numFmt numFmtId="170"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
      <sz val="16"/>
      <color theme="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23">
    <xf numFmtId="0" fontId="0" fillId="0" borderId="0" xfId="0"/>
    <xf numFmtId="166" fontId="0" fillId="0" borderId="0" xfId="0" applyNumberFormat="1"/>
    <xf numFmtId="164" fontId="0" fillId="0" borderId="0" xfId="0" applyNumberFormat="1"/>
    <xf numFmtId="167" fontId="2" fillId="0" borderId="1" xfId="1" applyNumberFormat="1" applyFont="1" applyBorder="1" applyAlignment="1">
      <alignment horizontal="center" vertical="center"/>
    </xf>
    <xf numFmtId="167" fontId="0" fillId="0" borderId="0" xfId="0" applyNumberFormat="1"/>
    <xf numFmtId="0" fontId="2" fillId="0" borderId="1" xfId="0" applyFont="1" applyBorder="1" applyAlignment="1">
      <alignment horizontal="center" vertical="center"/>
    </xf>
    <xf numFmtId="16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0" xfId="0" applyAlignment="1">
      <alignment wrapText="1"/>
    </xf>
    <xf numFmtId="0" fontId="0" fillId="0" borderId="0" xfId="0" applyAlignment="1">
      <alignment horizontal="center"/>
    </xf>
    <xf numFmtId="0" fontId="0" fillId="0" borderId="0" xfId="0"/>
    <xf numFmtId="0" fontId="0" fillId="0" borderId="1" xfId="0" applyBorder="1" applyAlignment="1">
      <alignment horizontal="center" vertical="center"/>
    </xf>
    <xf numFmtId="166" fontId="12" fillId="0" borderId="1" xfId="4" applyNumberFormat="1" applyFont="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5" fillId="0" borderId="7" xfId="0" applyFont="1" applyBorder="1" applyAlignment="1">
      <alignment horizontal="center" vertical="center" wrapText="1"/>
    </xf>
    <xf numFmtId="0" fontId="0" fillId="0" borderId="0" xfId="0" applyAlignment="1">
      <alignment horizontal="right" vertical="center"/>
    </xf>
    <xf numFmtId="166" fontId="12" fillId="0" borderId="0" xfId="4" applyNumberFormat="1" applyFont="1" applyBorder="1" applyAlignment="1">
      <alignment horizontal="center" vertical="center"/>
    </xf>
    <xf numFmtId="165" fontId="0" fillId="0" borderId="0" xfId="0" applyNumberFormat="1"/>
    <xf numFmtId="9" fontId="0" fillId="0" borderId="5" xfId="0" applyNumberFormat="1" applyBorder="1" applyAlignment="1">
      <alignment horizontal="center" vertical="center"/>
    </xf>
    <xf numFmtId="167" fontId="0" fillId="0" borderId="5" xfId="1" applyNumberFormat="1" applyFont="1" applyBorder="1" applyAlignment="1">
      <alignment horizontal="center" vertical="center"/>
    </xf>
    <xf numFmtId="9" fontId="0" fillId="0" borderId="1" xfId="0" applyNumberFormat="1" applyBorder="1" applyAlignment="1">
      <alignment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vertical="center"/>
    </xf>
    <xf numFmtId="2" fontId="0" fillId="0" borderId="5" xfId="0" applyNumberFormat="1" applyBorder="1" applyAlignment="1">
      <alignment horizontal="center" vertical="center"/>
    </xf>
    <xf numFmtId="165" fontId="2" fillId="0" borderId="1" xfId="2" applyNumberFormat="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66" fontId="12" fillId="0" borderId="1" xfId="4" applyNumberFormat="1" applyFont="1" applyFill="1" applyBorder="1" applyAlignment="1">
      <alignment horizontal="right" vertical="center"/>
    </xf>
    <xf numFmtId="165" fontId="0" fillId="0" borderId="5" xfId="2" applyNumberFormat="1" applyFont="1" applyBorder="1" applyAlignment="1">
      <alignment horizontal="center" vertical="center" wrapText="1"/>
    </xf>
    <xf numFmtId="0" fontId="0" fillId="0" borderId="0" xfId="0"/>
    <xf numFmtId="0" fontId="7" fillId="0" borderId="0" xfId="0" applyFont="1"/>
    <xf numFmtId="0" fontId="12" fillId="0" borderId="1" xfId="0" applyFont="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7" fillId="0" borderId="0" xfId="0" applyFont="1" applyBorder="1" applyAlignment="1">
      <alignment horizontal="center" vertical="center"/>
    </xf>
    <xf numFmtId="0" fontId="20" fillId="0" borderId="1" xfId="0" applyFont="1" applyFill="1" applyBorder="1" applyAlignment="1">
      <alignment horizontal="right" vertical="center" wrapText="1"/>
    </xf>
    <xf numFmtId="166" fontId="19" fillId="0" borderId="4" xfId="4" applyNumberFormat="1" applyFont="1" applyFill="1" applyBorder="1" applyAlignment="1">
      <alignment horizontal="center" vertical="center"/>
    </xf>
    <xf numFmtId="10" fontId="15" fillId="0"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xf>
    <xf numFmtId="166" fontId="0" fillId="0" borderId="0" xfId="2" applyNumberFormat="1" applyFont="1" applyAlignment="1">
      <alignment vertical="center"/>
    </xf>
    <xf numFmtId="166" fontId="0" fillId="0" borderId="0" xfId="0" applyNumberFormat="1" applyAlignment="1">
      <alignment vertical="center"/>
    </xf>
    <xf numFmtId="168" fontId="0" fillId="0" borderId="0" xfId="0" applyNumberFormat="1"/>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165" fontId="0" fillId="0" borderId="1" xfId="2" applyNumberFormat="1" applyFont="1" applyFill="1" applyBorder="1" applyAlignment="1">
      <alignment horizontal="center" vertical="center"/>
    </xf>
    <xf numFmtId="165" fontId="0" fillId="0" borderId="5" xfId="2" applyNumberFormat="1" applyFont="1" applyFill="1" applyBorder="1" applyAlignment="1">
      <alignment horizontal="center" vertical="center"/>
    </xf>
    <xf numFmtId="165" fontId="0" fillId="0" borderId="10" xfId="2" applyNumberFormat="1" applyFont="1" applyFill="1" applyBorder="1" applyAlignment="1">
      <alignment horizontal="center" vertical="center"/>
    </xf>
    <xf numFmtId="165" fontId="0" fillId="0" borderId="12" xfId="2" applyNumberFormat="1" applyFont="1" applyFill="1" applyBorder="1" applyAlignment="1">
      <alignment horizontal="center" vertical="center"/>
    </xf>
    <xf numFmtId="0" fontId="0" fillId="0" borderId="0" xfId="0" applyAlignment="1">
      <alignment horizontal="left" vertical="center"/>
    </xf>
    <xf numFmtId="166" fontId="1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166" fontId="12" fillId="0" borderId="4" xfId="4" applyNumberFormat="1" applyFont="1" applyFill="1" applyBorder="1" applyAlignment="1">
      <alignment horizontal="center" vertical="center"/>
    </xf>
    <xf numFmtId="166" fontId="12" fillId="0" borderId="4" xfId="4" applyNumberFormat="1" applyFont="1" applyFill="1" applyBorder="1" applyAlignment="1">
      <alignment horizontal="center" vertical="center" wrapText="1"/>
    </xf>
    <xf numFmtId="0" fontId="0" fillId="0" borderId="0" xfId="0" applyAlignment="1">
      <alignment horizontal="center" vertical="center" wrapText="1"/>
    </xf>
    <xf numFmtId="166" fontId="13" fillId="0" borderId="1" xfId="0" applyNumberFormat="1" applyFont="1" applyBorder="1"/>
    <xf numFmtId="166" fontId="13" fillId="0" borderId="1" xfId="4" applyNumberFormat="1" applyFont="1" applyBorder="1" applyAlignment="1">
      <alignment horizontal="center" vertical="center"/>
    </xf>
    <xf numFmtId="166" fontId="13" fillId="0" borderId="1" xfId="4" applyNumberFormat="1" applyFont="1" applyBorder="1" applyAlignment="1">
      <alignment horizontal="center"/>
    </xf>
    <xf numFmtId="2" fontId="0" fillId="0" borderId="0" xfId="0" applyNumberFormat="1" applyAlignment="1">
      <alignment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1" xfId="0" applyFill="1" applyBorder="1" applyAlignment="1">
      <alignment horizontal="center" vertical="center" wrapText="1"/>
    </xf>
    <xf numFmtId="0" fontId="0" fillId="0" borderId="5" xfId="0" applyFill="1" applyBorder="1" applyAlignment="1">
      <alignment vertical="center"/>
    </xf>
    <xf numFmtId="0" fontId="0" fillId="0" borderId="5" xfId="0" applyBorder="1" applyAlignment="1">
      <alignment vertical="center" wrapText="1"/>
    </xf>
    <xf numFmtId="0" fontId="0" fillId="0" borderId="1" xfId="0" applyBorder="1" applyAlignment="1">
      <alignment vertical="center"/>
    </xf>
    <xf numFmtId="166" fontId="13" fillId="0" borderId="1" xfId="0" applyNumberFormat="1" applyFont="1" applyBorder="1" applyAlignment="1">
      <alignment horizontal="center" vertical="center"/>
    </xf>
    <xf numFmtId="0" fontId="0" fillId="0" borderId="0" xfId="0" applyBorder="1"/>
    <xf numFmtId="0" fontId="0" fillId="0" borderId="0" xfId="0" applyBorder="1" applyAlignment="1">
      <alignment wrapText="1"/>
    </xf>
    <xf numFmtId="165" fontId="2" fillId="0" borderId="1" xfId="2" applyFont="1" applyBorder="1" applyAlignment="1">
      <alignment horizontal="center" vertical="center"/>
    </xf>
    <xf numFmtId="165" fontId="0" fillId="0" borderId="0" xfId="0" applyNumberFormat="1"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169" fontId="0" fillId="0" borderId="1" xfId="0" applyNumberFormat="1" applyBorder="1" applyAlignment="1">
      <alignment horizontal="center" vertical="center"/>
    </xf>
    <xf numFmtId="167" fontId="0" fillId="0" borderId="1" xfId="16" applyNumberFormat="1" applyFont="1" applyBorder="1" applyAlignment="1">
      <alignment horizontal="center" vertical="center"/>
    </xf>
    <xf numFmtId="9" fontId="0" fillId="0" borderId="1" xfId="15" applyFont="1" applyBorder="1" applyAlignment="1">
      <alignment horizontal="center" vertical="center"/>
    </xf>
    <xf numFmtId="0" fontId="5" fillId="2" borderId="1" xfId="0" applyFont="1" applyFill="1" applyBorder="1" applyAlignment="1">
      <alignment horizontal="center" vertical="center" wrapText="1"/>
    </xf>
    <xf numFmtId="165" fontId="0" fillId="0" borderId="0" xfId="0" applyNumberFormat="1" applyAlignment="1">
      <alignment wrapText="1"/>
    </xf>
    <xf numFmtId="165" fontId="0" fillId="0" borderId="0" xfId="0" applyNumberFormat="1" applyAlignment="1">
      <alignment vertical="center" wrapText="1"/>
    </xf>
    <xf numFmtId="0" fontId="12" fillId="0" borderId="1" xfId="0" applyFont="1" applyFill="1" applyBorder="1" applyAlignment="1">
      <alignment horizontal="center" vertical="center"/>
    </xf>
    <xf numFmtId="1" fontId="0" fillId="0" borderId="1" xfId="0" applyNumberFormat="1" applyBorder="1" applyAlignment="1">
      <alignment horizontal="center" vertical="center" wrapText="1"/>
    </xf>
    <xf numFmtId="0" fontId="0" fillId="0" borderId="5" xfId="0" applyFont="1" applyBorder="1" applyAlignment="1">
      <alignment vertical="center" wrapText="1"/>
    </xf>
    <xf numFmtId="170" fontId="0" fillId="0" borderId="1" xfId="0" applyNumberFormat="1" applyBorder="1" applyAlignment="1">
      <alignment horizontal="center" vertical="center"/>
    </xf>
    <xf numFmtId="166" fontId="12" fillId="0" borderId="1" xfId="0" applyNumberFormat="1" applyFont="1" applyBorder="1" applyAlignment="1">
      <alignment vertical="center"/>
    </xf>
    <xf numFmtId="0" fontId="11" fillId="4"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2" fillId="0" borderId="0" xfId="0" applyFont="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1" xfId="0" applyFont="1" applyBorder="1" applyAlignment="1">
      <alignment horizontal="left" vertical="center"/>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1" fontId="0" fillId="0" borderId="8" xfId="0" applyNumberFormat="1" applyBorder="1" applyAlignment="1">
      <alignment horizontal="center" vertical="center"/>
    </xf>
    <xf numFmtId="1" fontId="0" fillId="0" borderId="6" xfId="0" applyNumberFormat="1" applyBorder="1" applyAlignment="1">
      <alignment horizontal="center" vertical="center"/>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0" fillId="0" borderId="6" xfId="0" applyFont="1" applyBorder="1" applyAlignment="1">
      <alignment horizontal="left"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167"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65" fontId="0" fillId="0" borderId="5" xfId="2" applyNumberFormat="1" applyFont="1" applyBorder="1" applyAlignment="1">
      <alignment horizontal="center" vertical="center" wrapText="1"/>
    </xf>
    <xf numFmtId="165" fontId="0" fillId="0" borderId="8" xfId="2" applyNumberFormat="1" applyFont="1" applyBorder="1" applyAlignment="1">
      <alignment horizontal="center" vertical="center" wrapText="1"/>
    </xf>
    <xf numFmtId="165" fontId="0" fillId="0" borderId="6" xfId="2" applyNumberFormat="1" applyFont="1" applyBorder="1" applyAlignment="1">
      <alignment horizontal="center" vertical="center" wrapText="1"/>
    </xf>
    <xf numFmtId="165" fontId="0" fillId="0" borderId="1" xfId="2" applyFont="1" applyBorder="1" applyAlignment="1">
      <alignment horizontal="center" vertical="center"/>
    </xf>
    <xf numFmtId="165" fontId="0" fillId="0" borderId="1" xfId="2" applyFont="1" applyBorder="1" applyAlignment="1">
      <alignment vertical="center"/>
    </xf>
    <xf numFmtId="167" fontId="0" fillId="0" borderId="5" xfId="1" applyNumberFormat="1" applyFont="1" applyBorder="1" applyAlignment="1">
      <alignment horizontal="center" vertical="center"/>
    </xf>
    <xf numFmtId="167" fontId="0" fillId="0" borderId="8" xfId="1" applyNumberFormat="1" applyFont="1" applyBorder="1" applyAlignment="1">
      <alignment horizontal="center" vertical="center"/>
    </xf>
    <xf numFmtId="167" fontId="0" fillId="0" borderId="6" xfId="1" applyNumberFormat="1" applyFont="1" applyBorder="1" applyAlignment="1">
      <alignment horizontal="center" vertical="center"/>
    </xf>
    <xf numFmtId="1" fontId="0" fillId="0" borderId="5" xfId="0" applyNumberFormat="1" applyBorder="1" applyAlignment="1">
      <alignment horizontal="center" vertical="center"/>
    </xf>
    <xf numFmtId="0" fontId="13" fillId="0" borderId="1" xfId="4" applyNumberFormat="1" applyFont="1" applyBorder="1" applyAlignment="1">
      <alignment horizontal="center" vertical="center"/>
    </xf>
  </cellXfs>
  <cellStyles count="22">
    <cellStyle name="Comma" xfId="2" builtinId="3"/>
    <cellStyle name="Comma 2" xfId="4"/>
    <cellStyle name="Comma 2 2" xfId="10"/>
    <cellStyle name="Comma 2 3" xfId="19"/>
    <cellStyle name="Comma 3" xfId="8"/>
    <cellStyle name="Comma 3 2" xfId="21"/>
    <cellStyle name="Comma 4" xfId="12"/>
    <cellStyle name="Comma 5" xfId="14"/>
    <cellStyle name="Comma 6" xfId="6"/>
    <cellStyle name="Comma 7" xfId="17"/>
    <cellStyle name="Currency" xfId="1" builtinId="4"/>
    <cellStyle name="Currency 2" xfId="3"/>
    <cellStyle name="Currency 2 2" xfId="9"/>
    <cellStyle name="Currency 2 3" xfId="18"/>
    <cellStyle name="Currency 3" xfId="7"/>
    <cellStyle name="Currency 3 2" xfId="20"/>
    <cellStyle name="Currency 4" xfId="11"/>
    <cellStyle name="Currency 5" xfId="13"/>
    <cellStyle name="Currency 6" xfId="5"/>
    <cellStyle name="Currency 7" xfId="16"/>
    <cellStyle name="Normal" xfId="0" builtinId="0"/>
    <cellStyle name="Percent" xfId="15"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7</xdr:col>
      <xdr:colOff>143899</xdr:colOff>
      <xdr:row>64</xdr:row>
      <xdr:rowOff>10271</xdr:rowOff>
    </xdr:to>
    <xdr:pic>
      <xdr:nvPicPr>
        <xdr:cNvPr id="2" name="Picture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2452688" y="9167813"/>
          <a:ext cx="7335274" cy="5344271"/>
        </a:xfrm>
        <a:prstGeom prst="rect">
          <a:avLst/>
        </a:prstGeom>
        <a:ln>
          <a:solidFill>
            <a:sysClr val="windowText" lastClr="000000"/>
          </a:solidFill>
        </a:ln>
      </xdr:spPr>
    </xdr:pic>
    <xdr:clientData/>
  </xdr:twoCellAnchor>
  <xdr:twoCellAnchor editAs="oneCell">
    <xdr:from>
      <xdr:col>2</xdr:col>
      <xdr:colOff>36419</xdr:colOff>
      <xdr:row>27</xdr:row>
      <xdr:rowOff>71437</xdr:rowOff>
    </xdr:from>
    <xdr:to>
      <xdr:col>7</xdr:col>
      <xdr:colOff>161265</xdr:colOff>
      <xdr:row>38</xdr:row>
      <xdr:rowOff>100308</xdr:rowOff>
    </xdr:to>
    <xdr:pic>
      <xdr:nvPicPr>
        <xdr:cNvPr id="3" name="Picture 2"/>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Lst>
        </a:blip>
        <a:stretch>
          <a:fillRect/>
        </a:stretch>
      </xdr:blipFill>
      <xdr:spPr>
        <a:xfrm>
          <a:off x="2490507" y="7646613"/>
          <a:ext cx="7296611" cy="2124371"/>
        </a:xfrm>
        <a:prstGeom prst="rect">
          <a:avLst/>
        </a:prstGeom>
        <a:ln>
          <a:solidFill>
            <a:sysClr val="windowText" lastClr="000000"/>
          </a:solidFill>
        </a:ln>
      </xdr:spPr>
    </xdr:pic>
    <xdr:clientData/>
  </xdr:twoCellAnchor>
  <xdr:twoCellAnchor editAs="oneCell">
    <xdr:from>
      <xdr:col>7</xdr:col>
      <xdr:colOff>593912</xdr:colOff>
      <xdr:row>28</xdr:row>
      <xdr:rowOff>0</xdr:rowOff>
    </xdr:from>
    <xdr:to>
      <xdr:col>10</xdr:col>
      <xdr:colOff>955190</xdr:colOff>
      <xdr:row>54</xdr:row>
      <xdr:rowOff>57849</xdr:rowOff>
    </xdr:to>
    <xdr:pic>
      <xdr:nvPicPr>
        <xdr:cNvPr id="5" name="Picture 4"/>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25000"/>
                  </a14:imgEffect>
                </a14:imgLayer>
              </a14:imgProps>
            </a:ext>
          </a:extLst>
        </a:blip>
        <a:stretch>
          <a:fillRect/>
        </a:stretch>
      </xdr:blipFill>
      <xdr:spPr>
        <a:xfrm>
          <a:off x="10219765" y="7765676"/>
          <a:ext cx="7230484" cy="501084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N26"/>
  <sheetViews>
    <sheetView tabSelected="1" zoomScale="85" zoomScaleNormal="85" workbookViewId="0">
      <selection activeCell="F8" sqref="F8"/>
    </sheetView>
  </sheetViews>
  <sheetFormatPr defaultRowHeight="15" x14ac:dyDescent="0.25"/>
  <cols>
    <col min="1" max="1" width="18.5703125" bestFit="1" customWidth="1"/>
    <col min="2" max="2" width="18.140625" bestFit="1" customWidth="1"/>
    <col min="3" max="3" width="20.42578125" style="12" customWidth="1"/>
    <col min="4" max="4" width="17.7109375" bestFit="1" customWidth="1"/>
    <col min="5" max="5" width="27.140625" bestFit="1" customWidth="1"/>
    <col min="6" max="6" width="17" bestFit="1" customWidth="1"/>
    <col min="7" max="7" width="25.28515625" customWidth="1"/>
    <col min="8" max="8" width="45.85546875" bestFit="1" customWidth="1"/>
    <col min="9" max="9" width="27.7109375" bestFit="1" customWidth="1"/>
    <col min="10" max="10" width="29.42578125" bestFit="1" customWidth="1"/>
    <col min="11" max="11" width="31.42578125" bestFit="1" customWidth="1"/>
    <col min="12" max="12" width="11.7109375" bestFit="1" customWidth="1"/>
  </cols>
  <sheetData>
    <row r="2" spans="1:14" ht="21" x14ac:dyDescent="0.25">
      <c r="B2" s="88" t="s">
        <v>21</v>
      </c>
      <c r="C2" s="88"/>
      <c r="D2" s="88"/>
      <c r="E2" s="13"/>
      <c r="F2" s="13"/>
      <c r="G2" s="13"/>
      <c r="H2" s="13"/>
      <c r="I2" s="13"/>
      <c r="J2" s="13"/>
      <c r="K2" s="13"/>
      <c r="L2" s="13"/>
      <c r="M2" s="13"/>
      <c r="N2" s="13"/>
    </row>
    <row r="3" spans="1:14" ht="42" x14ac:dyDescent="0.25">
      <c r="B3" s="16" t="s">
        <v>69</v>
      </c>
      <c r="C3" s="37" t="s">
        <v>70</v>
      </c>
      <c r="D3" s="17" t="s">
        <v>22</v>
      </c>
      <c r="E3" s="13"/>
      <c r="F3" s="31"/>
      <c r="G3" s="13"/>
      <c r="H3" s="13"/>
      <c r="I3" s="13"/>
      <c r="J3" s="13"/>
      <c r="K3" s="13"/>
      <c r="L3" s="13"/>
      <c r="M3" s="13"/>
      <c r="N3" s="13"/>
    </row>
    <row r="4" spans="1:14" ht="21" x14ac:dyDescent="0.25">
      <c r="A4" s="69" t="s">
        <v>64</v>
      </c>
      <c r="B4" s="87">
        <v>2280</v>
      </c>
      <c r="C4" s="55">
        <v>11025</v>
      </c>
      <c r="D4" s="15">
        <f>B4*C4</f>
        <v>25137000</v>
      </c>
      <c r="E4" s="13"/>
      <c r="F4" s="13"/>
      <c r="G4" s="13"/>
      <c r="H4" s="13"/>
      <c r="I4" s="13"/>
      <c r="J4" s="13"/>
      <c r="K4" s="13"/>
      <c r="L4" s="13"/>
      <c r="M4" s="13"/>
      <c r="N4" s="13"/>
    </row>
    <row r="5" spans="1:14" s="13" customFormat="1" ht="21" x14ac:dyDescent="0.25">
      <c r="A5" s="86">
        <f>B4/4047</f>
        <v>0.56338028169014087</v>
      </c>
      <c r="B5" s="39">
        <f>A5/3000</f>
        <v>1.8779342723004695E-4</v>
      </c>
      <c r="C5" s="20"/>
      <c r="D5" s="20"/>
      <c r="F5" s="31"/>
    </row>
    <row r="6" spans="1:14" s="13" customFormat="1" ht="21" x14ac:dyDescent="0.25">
      <c r="B6" s="91" t="s">
        <v>23</v>
      </c>
      <c r="C6" s="92"/>
      <c r="D6" s="93"/>
      <c r="F6" s="34"/>
    </row>
    <row r="7" spans="1:14" s="13" customFormat="1" ht="21" x14ac:dyDescent="0.25">
      <c r="B7" s="37" t="s">
        <v>24</v>
      </c>
      <c r="C7" s="43" t="s">
        <v>71</v>
      </c>
      <c r="D7" s="38" t="s">
        <v>25</v>
      </c>
    </row>
    <row r="8" spans="1:14" s="13" customFormat="1" ht="21" x14ac:dyDescent="0.35">
      <c r="B8" s="70">
        <f>D4</f>
        <v>25137000</v>
      </c>
      <c r="C8" s="62">
        <f>Building!Z9</f>
        <v>8688926.1513</v>
      </c>
      <c r="D8" s="60">
        <f>B8+C8</f>
        <v>33825926.151299998</v>
      </c>
    </row>
    <row r="9" spans="1:14" s="13" customFormat="1" ht="21" x14ac:dyDescent="0.25">
      <c r="B9" s="89" t="s">
        <v>42</v>
      </c>
      <c r="C9" s="36" t="s">
        <v>26</v>
      </c>
      <c r="D9" s="61">
        <v>39800000</v>
      </c>
      <c r="L9"/>
      <c r="M9"/>
      <c r="N9"/>
    </row>
    <row r="10" spans="1:14" ht="21" x14ac:dyDescent="0.25">
      <c r="B10" s="90"/>
      <c r="C10" s="36" t="s">
        <v>31</v>
      </c>
      <c r="D10" s="122">
        <f>D9*0.85</f>
        <v>33830000</v>
      </c>
      <c r="E10" s="31">
        <v>0.85</v>
      </c>
      <c r="F10" s="1"/>
      <c r="G10" s="13"/>
      <c r="H10" s="13"/>
      <c r="I10" s="13"/>
      <c r="J10" s="13"/>
    </row>
    <row r="11" spans="1:14" ht="21" x14ac:dyDescent="0.25">
      <c r="B11" s="90"/>
      <c r="C11" s="36" t="s">
        <v>32</v>
      </c>
      <c r="D11" s="61">
        <f>D9*E11</f>
        <v>29850000</v>
      </c>
      <c r="E11" s="31">
        <v>0.75</v>
      </c>
      <c r="F11" s="13"/>
      <c r="G11" s="13"/>
      <c r="H11" s="13"/>
      <c r="I11" s="13"/>
      <c r="J11" s="13"/>
    </row>
    <row r="12" spans="1:14" x14ac:dyDescent="0.25">
      <c r="E12" s="13"/>
      <c r="F12" s="13"/>
      <c r="G12" s="13"/>
      <c r="H12" s="13"/>
      <c r="I12" s="13"/>
      <c r="J12" s="13"/>
    </row>
    <row r="13" spans="1:14" ht="21" customHeight="1" x14ac:dyDescent="0.25">
      <c r="B13" s="34"/>
      <c r="D13" s="34"/>
      <c r="E13" s="13"/>
      <c r="F13" s="13"/>
      <c r="G13" s="19"/>
      <c r="H13" s="32" t="s">
        <v>33</v>
      </c>
      <c r="I13" s="57">
        <v>4800</v>
      </c>
      <c r="J13" s="83" t="s">
        <v>27</v>
      </c>
      <c r="K13" s="71"/>
    </row>
    <row r="14" spans="1:14" ht="42" x14ac:dyDescent="0.25">
      <c r="B14" s="34"/>
      <c r="D14" s="44"/>
      <c r="E14" s="13"/>
      <c r="F14" s="13"/>
      <c r="G14" s="19"/>
      <c r="H14" s="32" t="s">
        <v>34</v>
      </c>
      <c r="I14" s="58" t="s">
        <v>46</v>
      </c>
      <c r="J14" s="83" t="s">
        <v>28</v>
      </c>
      <c r="K14" s="71"/>
    </row>
    <row r="15" spans="1:14" x14ac:dyDescent="0.25">
      <c r="D15" s="44"/>
      <c r="E15" s="56" t="s">
        <v>30</v>
      </c>
      <c r="F15" s="50">
        <f>Building!G17</f>
        <v>8491</v>
      </c>
      <c r="G15" s="13"/>
      <c r="H15" s="13"/>
      <c r="I15" s="13"/>
      <c r="J15" s="13"/>
    </row>
    <row r="16" spans="1:14" ht="19.5" thickBot="1" x14ac:dyDescent="0.3">
      <c r="B16" s="13"/>
      <c r="D16" s="45"/>
      <c r="E16" s="47" t="s">
        <v>29</v>
      </c>
      <c r="F16" s="51">
        <f>F15/10.764</f>
        <v>788.83314752879971</v>
      </c>
      <c r="G16" s="19"/>
      <c r="H16" s="40" t="s">
        <v>35</v>
      </c>
      <c r="I16" s="41">
        <f>B4*I13</f>
        <v>10944000</v>
      </c>
      <c r="J16" s="13"/>
    </row>
    <row r="17" spans="5:12" ht="30" x14ac:dyDescent="0.25">
      <c r="E17" s="48" t="s">
        <v>43</v>
      </c>
      <c r="F17" s="52">
        <f>SUM(Building!E18)/10.764</f>
        <v>132.47863247863248</v>
      </c>
      <c r="G17" s="19"/>
      <c r="H17" s="40" t="s">
        <v>36</v>
      </c>
      <c r="I17" s="41">
        <f>((F17*J17)+(F18*J18))*K21</f>
        <v>7077054.626532888</v>
      </c>
      <c r="J17" s="27">
        <v>12000</v>
      </c>
      <c r="K17" s="27" t="s">
        <v>72</v>
      </c>
      <c r="L17" s="13"/>
    </row>
    <row r="18" spans="5:12" ht="30.75" thickBot="1" x14ac:dyDescent="0.3">
      <c r="E18" s="49" t="s">
        <v>45</v>
      </c>
      <c r="F18" s="53">
        <f>SUM(Building!E17)/10.764</f>
        <v>656.35451505016727</v>
      </c>
      <c r="G18" s="27"/>
      <c r="H18" s="40" t="s">
        <v>25</v>
      </c>
      <c r="I18" s="41">
        <f>I17+I16</f>
        <v>18021054.62653289</v>
      </c>
      <c r="J18" s="19">
        <v>10000</v>
      </c>
      <c r="K18" s="27" t="s">
        <v>73</v>
      </c>
      <c r="L18" s="13"/>
    </row>
    <row r="19" spans="5:12" ht="15.75" thickBot="1" x14ac:dyDescent="0.3">
      <c r="F19" s="46">
        <f>SUM(F17:F18)</f>
        <v>788.83314752879971</v>
      </c>
      <c r="G19" s="13"/>
      <c r="H19" s="13"/>
      <c r="I19" s="13"/>
      <c r="J19" s="13"/>
      <c r="K19" s="13"/>
      <c r="L19" s="13"/>
    </row>
    <row r="20" spans="5:12" ht="33" thickBot="1" x14ac:dyDescent="0.3">
      <c r="F20">
        <f>F19*10.764</f>
        <v>8491</v>
      </c>
      <c r="G20" s="13"/>
      <c r="H20" s="18" t="s">
        <v>37</v>
      </c>
      <c r="I20" s="42">
        <f>(D9-I18)/D9</f>
        <v>0.54720968275042992</v>
      </c>
      <c r="J20" s="21"/>
      <c r="K20" s="21"/>
      <c r="L20" s="13"/>
    </row>
    <row r="21" spans="5:12" ht="30" customHeight="1" x14ac:dyDescent="0.25">
      <c r="J21" s="19" t="s">
        <v>74</v>
      </c>
      <c r="K21" s="54">
        <v>0.86799999999999999</v>
      </c>
    </row>
    <row r="22" spans="5:12" x14ac:dyDescent="0.25">
      <c r="G22" s="34"/>
    </row>
    <row r="23" spans="5:12" x14ac:dyDescent="0.25">
      <c r="G23" s="34"/>
    </row>
    <row r="25" spans="5:12" ht="21" customHeight="1" x14ac:dyDescent="0.25"/>
    <row r="26" spans="5:12" x14ac:dyDescent="0.25">
      <c r="G26" s="1"/>
    </row>
  </sheetData>
  <mergeCells count="3">
    <mergeCell ref="B2:D2"/>
    <mergeCell ref="B9:B11"/>
    <mergeCell ref="B6: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19"/>
  <sheetViews>
    <sheetView topLeftCell="K1" zoomScale="80" zoomScaleNormal="80" zoomScaleSheetLayoutView="85" workbookViewId="0">
      <selection activeCell="Z9" sqref="Z9:AA9"/>
    </sheetView>
  </sheetViews>
  <sheetFormatPr defaultRowHeight="15" x14ac:dyDescent="0.25"/>
  <cols>
    <col min="1" max="1" width="9.140625" style="34"/>
    <col min="2" max="2" width="4.85546875" bestFit="1" customWidth="1"/>
    <col min="3" max="3" width="25.28515625" style="13" bestFit="1" customWidth="1"/>
    <col min="4" max="4" width="13.42578125" bestFit="1" customWidth="1"/>
    <col min="5" max="5" width="13.140625" style="11" bestFit="1" customWidth="1"/>
    <col min="6" max="6" width="29.140625" style="11" customWidth="1"/>
    <col min="7" max="7" width="10.7109375" bestFit="1" customWidth="1"/>
    <col min="8" max="8" width="6.85546875" customWidth="1"/>
    <col min="9" max="9" width="13.140625" customWidth="1"/>
    <col min="10" max="10" width="13.85546875" style="34" customWidth="1"/>
    <col min="11" max="11" width="13" customWidth="1"/>
    <col min="12" max="12" width="9.5703125" customWidth="1"/>
    <col min="13" max="13" width="10.42578125" hidden="1" customWidth="1"/>
    <col min="14" max="14" width="11.28515625" customWidth="1"/>
    <col min="15" max="15" width="11.28515625" hidden="1" customWidth="1"/>
    <col min="16" max="16" width="26.42578125" hidden="1" customWidth="1"/>
    <col min="17" max="17" width="10.85546875" customWidth="1"/>
    <col min="18" max="18" width="13.5703125" customWidth="1"/>
    <col min="19" max="20" width="13.42578125" hidden="1" customWidth="1"/>
    <col min="21" max="21" width="10.85546875" hidden="1" customWidth="1"/>
    <col min="22" max="22" width="13.42578125" style="12" bestFit="1" customWidth="1"/>
    <col min="23" max="23" width="17" bestFit="1" customWidth="1"/>
    <col min="24" max="24" width="14.28515625" bestFit="1" customWidth="1"/>
    <col min="25" max="25" width="12.28515625" bestFit="1" customWidth="1"/>
    <col min="27" max="27" width="10.42578125" customWidth="1"/>
    <col min="28" max="28" width="10.85546875" customWidth="1"/>
    <col min="29" max="29" width="7.7109375" bestFit="1" customWidth="1"/>
    <col min="30" max="30" width="12.42578125" bestFit="1" customWidth="1"/>
    <col min="31" max="31" width="10.28515625" customWidth="1"/>
    <col min="32" max="32" width="11.140625" bestFit="1" customWidth="1"/>
    <col min="33" max="33" width="12.5703125" customWidth="1"/>
    <col min="34" max="34" width="12" customWidth="1"/>
    <col min="35" max="35" width="11.28515625" customWidth="1"/>
    <col min="36" max="36" width="12.85546875" customWidth="1"/>
  </cols>
  <sheetData>
    <row r="1" spans="1:36" x14ac:dyDescent="0.25">
      <c r="G1">
        <f>123.96+3781.74+58.93+42.19</f>
        <v>4006.8199999999997</v>
      </c>
    </row>
    <row r="2" spans="1:36" ht="15.75" x14ac:dyDescent="0.25">
      <c r="B2" s="95" t="s">
        <v>50</v>
      </c>
      <c r="C2" s="96"/>
      <c r="D2" s="96"/>
      <c r="E2" s="96"/>
      <c r="F2" s="96"/>
      <c r="G2" s="96"/>
      <c r="H2" s="96"/>
      <c r="I2" s="96"/>
      <c r="J2" s="96"/>
      <c r="K2" s="96"/>
      <c r="L2" s="96"/>
      <c r="M2" s="96"/>
      <c r="N2" s="96"/>
      <c r="O2" s="96"/>
      <c r="P2" s="96"/>
      <c r="Q2" s="96"/>
      <c r="R2" s="96"/>
      <c r="S2" s="96"/>
      <c r="T2" s="96"/>
      <c r="U2" s="96"/>
      <c r="V2" s="98"/>
      <c r="X2" s="95" t="s">
        <v>54</v>
      </c>
      <c r="Y2" s="96"/>
      <c r="Z2" s="96"/>
      <c r="AA2" s="96"/>
      <c r="AB2" s="96"/>
      <c r="AC2" s="96"/>
      <c r="AD2" s="96"/>
      <c r="AE2" s="96"/>
      <c r="AF2" s="96"/>
      <c r="AG2" s="96"/>
      <c r="AH2" s="96"/>
      <c r="AI2" s="96"/>
      <c r="AJ2" s="96"/>
    </row>
    <row r="3" spans="1:36" s="10" customFormat="1" ht="75" x14ac:dyDescent="0.25">
      <c r="A3" s="35"/>
      <c r="B3" s="8" t="s">
        <v>38</v>
      </c>
      <c r="C3" s="8" t="s">
        <v>39</v>
      </c>
      <c r="D3" s="9" t="s">
        <v>18</v>
      </c>
      <c r="E3" s="8" t="s">
        <v>0</v>
      </c>
      <c r="F3" s="9" t="s">
        <v>3</v>
      </c>
      <c r="G3" s="9" t="s">
        <v>77</v>
      </c>
      <c r="H3" s="9" t="s">
        <v>12</v>
      </c>
      <c r="I3" s="9" t="s">
        <v>19</v>
      </c>
      <c r="J3" s="9" t="s">
        <v>53</v>
      </c>
      <c r="K3" s="9" t="s">
        <v>1</v>
      </c>
      <c r="L3" s="9" t="s">
        <v>2</v>
      </c>
      <c r="M3" s="9" t="s">
        <v>13</v>
      </c>
      <c r="N3" s="9" t="s">
        <v>14</v>
      </c>
      <c r="O3" s="9" t="s">
        <v>4</v>
      </c>
      <c r="P3" s="9" t="s">
        <v>6</v>
      </c>
      <c r="Q3" s="9" t="s">
        <v>20</v>
      </c>
      <c r="R3" s="9" t="s">
        <v>10</v>
      </c>
      <c r="S3" s="9" t="s">
        <v>7</v>
      </c>
      <c r="T3" s="9" t="s">
        <v>8</v>
      </c>
      <c r="U3" s="9" t="s">
        <v>11</v>
      </c>
      <c r="V3" s="9" t="s">
        <v>9</v>
      </c>
      <c r="X3" s="80" t="s">
        <v>55</v>
      </c>
      <c r="Y3" s="80" t="s">
        <v>1</v>
      </c>
      <c r="Z3" s="80" t="s">
        <v>2</v>
      </c>
      <c r="AA3" s="80" t="s">
        <v>56</v>
      </c>
      <c r="AB3" s="80" t="s">
        <v>57</v>
      </c>
      <c r="AC3" s="80" t="s">
        <v>4</v>
      </c>
      <c r="AD3" s="80" t="s">
        <v>6</v>
      </c>
      <c r="AE3" s="80" t="s">
        <v>58</v>
      </c>
      <c r="AF3" s="80" t="s">
        <v>10</v>
      </c>
      <c r="AG3" s="80" t="s">
        <v>7</v>
      </c>
      <c r="AH3" s="80" t="s">
        <v>8</v>
      </c>
      <c r="AI3" s="80" t="s">
        <v>11</v>
      </c>
      <c r="AJ3" s="80" t="s">
        <v>9</v>
      </c>
    </row>
    <row r="4" spans="1:36" s="13" customFormat="1" ht="18" customHeight="1" x14ac:dyDescent="0.25">
      <c r="A4" s="34"/>
      <c r="B4" s="7">
        <v>1</v>
      </c>
      <c r="C4" s="67" t="s">
        <v>52</v>
      </c>
      <c r="D4" s="65" t="s">
        <v>44</v>
      </c>
      <c r="E4" s="107" t="s">
        <v>16</v>
      </c>
      <c r="F4" s="104" t="s">
        <v>67</v>
      </c>
      <c r="G4" s="33">
        <v>7065</v>
      </c>
      <c r="H4" s="25">
        <v>20</v>
      </c>
      <c r="I4" s="113">
        <v>9618</v>
      </c>
      <c r="J4" s="116">
        <v>9618</v>
      </c>
      <c r="K4" s="102">
        <v>2008</v>
      </c>
      <c r="L4" s="102">
        <v>2022</v>
      </c>
      <c r="M4" s="25">
        <f>L4-K4</f>
        <v>14</v>
      </c>
      <c r="N4" s="121">
        <v>40</v>
      </c>
      <c r="O4" s="26">
        <v>0.1</v>
      </c>
      <c r="P4" s="28">
        <f>(1-O4)/N4</f>
        <v>2.2499999999999999E-2</v>
      </c>
      <c r="Q4" s="118">
        <v>1000</v>
      </c>
      <c r="R4" s="118">
        <f>Q4*I4</f>
        <v>9618000</v>
      </c>
      <c r="S4" s="23">
        <f>R4*P4*M4</f>
        <v>3029670</v>
      </c>
      <c r="T4" s="23">
        <f>MAX(R4-S4,0)</f>
        <v>6588330</v>
      </c>
      <c r="U4" s="22">
        <v>0</v>
      </c>
      <c r="V4" s="118">
        <f>IF(T4&gt;O4*R4,T4*(1-U4),R4*O4)</f>
        <v>6588330</v>
      </c>
      <c r="W4" s="6"/>
      <c r="X4" s="84">
        <f>192.58*3.281</f>
        <v>631.85498000000007</v>
      </c>
      <c r="Y4" s="75">
        <v>2008</v>
      </c>
      <c r="Z4" s="75">
        <v>2022</v>
      </c>
      <c r="AA4" s="75">
        <f>Z4-Y4</f>
        <v>14</v>
      </c>
      <c r="AB4" s="75">
        <v>60</v>
      </c>
      <c r="AC4" s="76">
        <v>0.1</v>
      </c>
      <c r="AD4" s="77">
        <f>(1-AC4)/AB4</f>
        <v>1.5000000000000001E-2</v>
      </c>
      <c r="AE4" s="78">
        <v>1500</v>
      </c>
      <c r="AF4" s="78">
        <f>AE4*X4</f>
        <v>947782.47000000009</v>
      </c>
      <c r="AG4" s="78">
        <f>AF4*AD4*AA4</f>
        <v>199034.31870000003</v>
      </c>
      <c r="AH4" s="78">
        <f>MAX(AF4-AG4,0)</f>
        <v>748748.15130000003</v>
      </c>
      <c r="AI4" s="79">
        <v>0</v>
      </c>
      <c r="AJ4" s="78">
        <f>IF(AH4&gt;AC4*AF4,AH4*(1-AI4),AF4*AC4)</f>
        <v>748748.15130000003</v>
      </c>
    </row>
    <row r="5" spans="1:36" s="34" customFormat="1" ht="19.5" customHeight="1" x14ac:dyDescent="0.25">
      <c r="B5" s="7">
        <v>2</v>
      </c>
      <c r="C5" s="67" t="s">
        <v>52</v>
      </c>
      <c r="D5" s="65" t="s">
        <v>44</v>
      </c>
      <c r="E5" s="108"/>
      <c r="F5" s="105"/>
      <c r="G5" s="33">
        <v>2990</v>
      </c>
      <c r="H5" s="25">
        <v>32</v>
      </c>
      <c r="I5" s="114"/>
      <c r="J5" s="116"/>
      <c r="K5" s="102"/>
      <c r="L5" s="102"/>
      <c r="M5" s="25">
        <f>L4-K4</f>
        <v>14</v>
      </c>
      <c r="N5" s="102"/>
      <c r="O5" s="26"/>
      <c r="P5" s="28"/>
      <c r="Q5" s="119"/>
      <c r="R5" s="119"/>
      <c r="S5" s="23"/>
      <c r="T5" s="23"/>
      <c r="U5" s="22"/>
      <c r="V5" s="119"/>
      <c r="W5" s="6"/>
      <c r="Y5" s="1"/>
    </row>
    <row r="6" spans="1:36" s="13" customFormat="1" ht="19.5" customHeight="1" x14ac:dyDescent="0.25">
      <c r="A6" s="34"/>
      <c r="B6" s="7">
        <v>3</v>
      </c>
      <c r="C6" s="67" t="s">
        <v>52</v>
      </c>
      <c r="D6" s="65" t="s">
        <v>44</v>
      </c>
      <c r="E6" s="109"/>
      <c r="F6" s="106"/>
      <c r="G6" s="33">
        <v>1680</v>
      </c>
      <c r="H6" s="25">
        <v>18</v>
      </c>
      <c r="I6" s="115"/>
      <c r="J6" s="116"/>
      <c r="K6" s="102"/>
      <c r="L6" s="102"/>
      <c r="M6" s="25">
        <f>L4-K4</f>
        <v>14</v>
      </c>
      <c r="N6" s="103"/>
      <c r="O6" s="26"/>
      <c r="P6" s="28"/>
      <c r="Q6" s="120"/>
      <c r="R6" s="120"/>
      <c r="S6" s="23"/>
      <c r="T6" s="23"/>
      <c r="U6" s="22"/>
      <c r="V6" s="120"/>
      <c r="W6" s="6"/>
      <c r="X6" s="34"/>
      <c r="Y6" s="1"/>
    </row>
    <row r="7" spans="1:36" s="13" customFormat="1" ht="54.75" customHeight="1" x14ac:dyDescent="0.25">
      <c r="A7" s="34"/>
      <c r="B7" s="7">
        <v>4</v>
      </c>
      <c r="C7" s="7" t="s">
        <v>48</v>
      </c>
      <c r="D7" s="30" t="s">
        <v>47</v>
      </c>
      <c r="E7" s="14" t="s">
        <v>75</v>
      </c>
      <c r="F7" s="85" t="s">
        <v>76</v>
      </c>
      <c r="G7" s="33">
        <v>1088</v>
      </c>
      <c r="H7" s="25">
        <v>15</v>
      </c>
      <c r="I7" s="33">
        <f>G7</f>
        <v>1088</v>
      </c>
      <c r="J7" s="117">
        <v>1088</v>
      </c>
      <c r="K7" s="102"/>
      <c r="L7" s="102"/>
      <c r="M7" s="25">
        <f>L4-K4</f>
        <v>14</v>
      </c>
      <c r="N7" s="25">
        <v>60</v>
      </c>
      <c r="O7" s="26">
        <v>0.1</v>
      </c>
      <c r="P7" s="28">
        <f t="shared" ref="P7:P8" si="0">(1-O7)/N7</f>
        <v>1.5000000000000001E-2</v>
      </c>
      <c r="Q7" s="23">
        <v>1200</v>
      </c>
      <c r="R7" s="23">
        <f t="shared" ref="R7:R8" si="1">Q7*I7</f>
        <v>1305600</v>
      </c>
      <c r="S7" s="23">
        <f t="shared" ref="S7:S8" si="2">R7*P7*M7</f>
        <v>274176</v>
      </c>
      <c r="T7" s="23">
        <f t="shared" ref="T7:T8" si="3">MAX(R7-S7,0)</f>
        <v>1031424</v>
      </c>
      <c r="U7" s="22">
        <v>0</v>
      </c>
      <c r="V7" s="23">
        <f>IF(T7&gt;O7*R7,T7*(1-U7),R7*O7)</f>
        <v>1031424</v>
      </c>
      <c r="W7" s="6"/>
      <c r="X7" s="34"/>
      <c r="Y7" s="1"/>
    </row>
    <row r="8" spans="1:36" s="13" customFormat="1" ht="54.75" customHeight="1" x14ac:dyDescent="0.25">
      <c r="A8" s="34"/>
      <c r="B8" s="7">
        <v>5</v>
      </c>
      <c r="C8" s="66" t="s">
        <v>49</v>
      </c>
      <c r="D8" s="7" t="s">
        <v>40</v>
      </c>
      <c r="E8" s="14" t="s">
        <v>16</v>
      </c>
      <c r="F8" s="68" t="s">
        <v>68</v>
      </c>
      <c r="G8" s="33">
        <v>338</v>
      </c>
      <c r="H8" s="25">
        <v>10</v>
      </c>
      <c r="I8" s="33">
        <f>G8</f>
        <v>338</v>
      </c>
      <c r="J8" s="117">
        <v>338</v>
      </c>
      <c r="K8" s="103"/>
      <c r="L8" s="103"/>
      <c r="M8" s="25">
        <f>L4-K4</f>
        <v>14</v>
      </c>
      <c r="N8" s="25">
        <v>60</v>
      </c>
      <c r="O8" s="26">
        <v>0.1</v>
      </c>
      <c r="P8" s="28">
        <f t="shared" si="0"/>
        <v>1.5000000000000001E-2</v>
      </c>
      <c r="Q8" s="23">
        <v>1200</v>
      </c>
      <c r="R8" s="23">
        <f t="shared" si="1"/>
        <v>405600</v>
      </c>
      <c r="S8" s="23">
        <f t="shared" si="2"/>
        <v>85176.000000000015</v>
      </c>
      <c r="T8" s="23">
        <f t="shared" si="3"/>
        <v>320424</v>
      </c>
      <c r="U8" s="22">
        <v>0</v>
      </c>
      <c r="V8" s="23">
        <f>IF(T8&gt;O8*R8,T8*(1-U8),R8*O8)</f>
        <v>320424</v>
      </c>
      <c r="W8" s="6"/>
      <c r="Z8" s="110" t="s">
        <v>65</v>
      </c>
      <c r="AA8" s="110"/>
    </row>
    <row r="9" spans="1:36" x14ac:dyDescent="0.25">
      <c r="B9" s="99" t="s">
        <v>5</v>
      </c>
      <c r="C9" s="99"/>
      <c r="D9" s="99"/>
      <c r="E9" s="99"/>
      <c r="F9" s="99"/>
      <c r="G9" s="29">
        <f>SUM(G4:G8)</f>
        <v>13161</v>
      </c>
      <c r="H9" s="5"/>
      <c r="I9" s="29">
        <f>SUM(I4:I8)</f>
        <v>11044</v>
      </c>
      <c r="J9" s="73">
        <v>11044</v>
      </c>
      <c r="K9" s="99"/>
      <c r="L9" s="99"/>
      <c r="M9" s="99"/>
      <c r="N9" s="99"/>
      <c r="O9" s="99"/>
      <c r="P9" s="99"/>
      <c r="Q9" s="99"/>
      <c r="R9" s="3">
        <f>SUM(R4:R8)</f>
        <v>11329200</v>
      </c>
      <c r="S9" s="3"/>
      <c r="T9" s="3">
        <f>SUM(T4:T8)</f>
        <v>7940178</v>
      </c>
      <c r="U9" s="24"/>
      <c r="V9" s="3">
        <f>SUM((V4:V8))</f>
        <v>7940178</v>
      </c>
      <c r="W9" s="6"/>
      <c r="Z9" s="111">
        <f>V9+AJ4</f>
        <v>8688926.1513</v>
      </c>
      <c r="AA9" s="112"/>
    </row>
    <row r="10" spans="1:36" x14ac:dyDescent="0.25">
      <c r="B10" s="101" t="s">
        <v>15</v>
      </c>
      <c r="C10" s="101"/>
      <c r="D10" s="101"/>
      <c r="E10" s="101"/>
      <c r="F10" s="101"/>
      <c r="G10" s="101"/>
      <c r="H10" s="101"/>
      <c r="I10" s="101"/>
      <c r="J10" s="101"/>
      <c r="K10" s="101"/>
      <c r="L10" s="101"/>
      <c r="M10" s="101"/>
      <c r="N10" s="101"/>
      <c r="O10" s="101"/>
      <c r="P10" s="101"/>
      <c r="Q10" s="101"/>
      <c r="R10" s="101"/>
      <c r="S10" s="101"/>
      <c r="T10" s="101"/>
      <c r="U10" s="101"/>
      <c r="V10" s="101"/>
      <c r="W10" s="6"/>
      <c r="X10" s="11"/>
      <c r="Y10" s="11"/>
    </row>
    <row r="11" spans="1:36" x14ac:dyDescent="0.25">
      <c r="B11" s="100" t="s">
        <v>41</v>
      </c>
      <c r="C11" s="100"/>
      <c r="D11" s="100"/>
      <c r="E11" s="100"/>
      <c r="F11" s="100"/>
      <c r="G11" s="100"/>
      <c r="H11" s="100"/>
      <c r="I11" s="100"/>
      <c r="J11" s="100"/>
      <c r="K11" s="100"/>
      <c r="L11" s="100"/>
      <c r="M11" s="100"/>
      <c r="N11" s="100"/>
      <c r="O11" s="100"/>
      <c r="P11" s="100"/>
      <c r="Q11" s="100"/>
      <c r="R11" s="100"/>
      <c r="S11" s="100"/>
      <c r="T11" s="100"/>
      <c r="U11" s="100"/>
      <c r="V11" s="100"/>
      <c r="W11" s="34"/>
      <c r="X11" s="11"/>
      <c r="Y11" s="11"/>
    </row>
    <row r="12" spans="1:36" x14ac:dyDescent="0.25">
      <c r="B12" s="100" t="s">
        <v>51</v>
      </c>
      <c r="C12" s="100"/>
      <c r="D12" s="97"/>
      <c r="E12" s="97"/>
      <c r="F12" s="97"/>
      <c r="G12" s="97"/>
      <c r="H12" s="97"/>
      <c r="I12" s="97"/>
      <c r="J12" s="97"/>
      <c r="K12" s="97"/>
      <c r="L12" s="97"/>
      <c r="M12" s="97"/>
      <c r="N12" s="97"/>
      <c r="O12" s="97"/>
      <c r="P12" s="97"/>
      <c r="Q12" s="97"/>
      <c r="R12" s="97"/>
      <c r="S12" s="97"/>
      <c r="T12" s="97"/>
      <c r="U12" s="97"/>
      <c r="V12" s="97"/>
      <c r="W12" s="34"/>
      <c r="X12" s="11"/>
      <c r="Y12" s="11"/>
    </row>
    <row r="13" spans="1:36" x14ac:dyDescent="0.25">
      <c r="B13" s="97" t="s">
        <v>17</v>
      </c>
      <c r="C13" s="97"/>
      <c r="D13" s="97"/>
      <c r="E13" s="97"/>
      <c r="F13" s="97"/>
      <c r="G13" s="97"/>
      <c r="H13" s="97"/>
      <c r="I13" s="97"/>
      <c r="J13" s="97"/>
      <c r="K13" s="97"/>
      <c r="L13" s="97"/>
      <c r="M13" s="97"/>
      <c r="N13" s="97"/>
      <c r="O13" s="97"/>
      <c r="P13" s="97"/>
      <c r="Q13" s="97"/>
      <c r="R13" s="97"/>
      <c r="S13" s="97"/>
      <c r="T13" s="97"/>
      <c r="U13" s="97"/>
      <c r="V13" s="97"/>
      <c r="W13" s="34"/>
      <c r="X13" s="11"/>
      <c r="Y13" s="11"/>
    </row>
    <row r="14" spans="1:36" x14ac:dyDescent="0.25">
      <c r="W14" s="34"/>
      <c r="X14" s="34"/>
    </row>
    <row r="15" spans="1:36" x14ac:dyDescent="0.25">
      <c r="R15" s="12"/>
      <c r="S15" s="6"/>
      <c r="V15"/>
    </row>
    <row r="16" spans="1:36" ht="30" x14ac:dyDescent="0.25">
      <c r="D16" s="94" t="s">
        <v>66</v>
      </c>
      <c r="E16" s="94"/>
      <c r="F16" s="63"/>
      <c r="G16">
        <v>8494</v>
      </c>
      <c r="I16" s="59" t="s">
        <v>59</v>
      </c>
      <c r="J16" s="31"/>
      <c r="R16" s="12"/>
      <c r="V16"/>
    </row>
    <row r="17" spans="4:22" ht="30" x14ac:dyDescent="0.25">
      <c r="D17" s="31" t="s">
        <v>62</v>
      </c>
      <c r="E17" s="81">
        <f>G4</f>
        <v>7065</v>
      </c>
      <c r="G17" s="21">
        <f>E19</f>
        <v>8491</v>
      </c>
      <c r="I17" s="59" t="s">
        <v>60</v>
      </c>
      <c r="J17" s="31" t="s">
        <v>63</v>
      </c>
      <c r="R17" s="12"/>
      <c r="S17" s="4"/>
      <c r="T17" s="2"/>
      <c r="U17" s="2"/>
      <c r="V17"/>
    </row>
    <row r="18" spans="4:22" x14ac:dyDescent="0.25">
      <c r="D18" s="31" t="s">
        <v>47</v>
      </c>
      <c r="E18" s="81">
        <f>G7+G8</f>
        <v>1426</v>
      </c>
      <c r="F18" s="64"/>
      <c r="G18" s="71"/>
      <c r="I18" s="59"/>
      <c r="J18" s="31"/>
      <c r="R18" s="12"/>
      <c r="V18"/>
    </row>
    <row r="19" spans="4:22" ht="30" x14ac:dyDescent="0.25">
      <c r="D19" s="31" t="s">
        <v>25</v>
      </c>
      <c r="E19" s="82">
        <f>SUM(E17:E18)</f>
        <v>8491</v>
      </c>
      <c r="F19" s="72"/>
      <c r="G19" s="74">
        <f>G5+G6</f>
        <v>4670</v>
      </c>
      <c r="I19" s="59" t="s">
        <v>61</v>
      </c>
      <c r="J19" s="31"/>
      <c r="R19" s="12"/>
      <c r="V19"/>
    </row>
  </sheetData>
  <mergeCells count="21">
    <mergeCell ref="I4:I6"/>
    <mergeCell ref="J4:J6"/>
    <mergeCell ref="Q4:Q6"/>
    <mergeCell ref="R4:R6"/>
    <mergeCell ref="V4:V6"/>
    <mergeCell ref="N4:N6"/>
    <mergeCell ref="D16:E16"/>
    <mergeCell ref="X2:AJ2"/>
    <mergeCell ref="B13:V13"/>
    <mergeCell ref="B2:V2"/>
    <mergeCell ref="B9:F9"/>
    <mergeCell ref="K9:Q9"/>
    <mergeCell ref="B11:V11"/>
    <mergeCell ref="B12:V12"/>
    <mergeCell ref="B10:V10"/>
    <mergeCell ref="K4:K8"/>
    <mergeCell ref="L4:L8"/>
    <mergeCell ref="F4:F6"/>
    <mergeCell ref="E4:E6"/>
    <mergeCell ref="Z8:AA8"/>
    <mergeCell ref="Z9:AA9"/>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cp:lastPrinted>2022-01-07T08:12:53Z</cp:lastPrinted>
  <dcterms:created xsi:type="dcterms:W3CDTF">2021-09-16T11:33:35Z</dcterms:created>
  <dcterms:modified xsi:type="dcterms:W3CDTF">2022-09-20T12:00:58Z</dcterms:modified>
</cp:coreProperties>
</file>