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Rahul Gupta\In progress\VIS(2022-23)-PL310-236-436\"/>
    </mc:Choice>
  </mc:AlternateContent>
  <bookViews>
    <workbookView xWindow="0" yWindow="0" windowWidth="20490" windowHeight="7755"/>
  </bookViews>
  <sheets>
    <sheet name="working of building" sheetId="1" r:id="rId1"/>
    <sheet name="Boundary wall" sheetId="4" r:id="rId2"/>
    <sheet name="summary" sheetId="5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5" i="1" l="1"/>
  <c r="P6" i="1"/>
  <c r="F8" i="1"/>
  <c r="E5" i="1"/>
  <c r="E8" i="1" s="1"/>
  <c r="E6" i="1"/>
  <c r="E4" i="1"/>
  <c r="H5" i="1"/>
  <c r="H6" i="1"/>
  <c r="N12" i="5"/>
  <c r="G6" i="1"/>
  <c r="G5" i="1"/>
  <c r="G4" i="1"/>
  <c r="G8" i="1" s="1"/>
  <c r="H4" i="1" l="1"/>
  <c r="J18" i="5"/>
  <c r="E23" i="1"/>
  <c r="S15" i="4"/>
  <c r="S14" i="4"/>
  <c r="S9" i="4"/>
  <c r="S8" i="4"/>
  <c r="P4" i="1" l="1"/>
  <c r="H8" i="1"/>
  <c r="L8" i="5"/>
  <c r="H11" i="5"/>
  <c r="H10" i="5"/>
  <c r="H6" i="5"/>
  <c r="F8" i="5"/>
  <c r="P9" i="4" l="1"/>
  <c r="O12" i="4"/>
  <c r="M12" i="4"/>
  <c r="K13" i="4"/>
  <c r="K12" i="4"/>
  <c r="N8" i="4"/>
  <c r="I3" i="4"/>
  <c r="G3" i="4"/>
  <c r="D3" i="4"/>
  <c r="J3" i="4" l="1"/>
  <c r="K3" i="4" s="1"/>
  <c r="M3" i="4" s="1"/>
  <c r="Y10" i="1" l="1"/>
  <c r="Y11" i="1" s="1"/>
  <c r="V12" i="1" l="1"/>
  <c r="R18" i="1" l="1"/>
  <c r="O26" i="1" l="1"/>
  <c r="O27" i="1" s="1"/>
  <c r="H23" i="1"/>
  <c r="M24" i="1"/>
  <c r="O21" i="1"/>
  <c r="O22" i="1" s="1"/>
  <c r="I21" i="1" l="1"/>
  <c r="I22" i="1" s="1"/>
  <c r="K21" i="1"/>
  <c r="K22" i="1" s="1"/>
  <c r="I19" i="1"/>
  <c r="M19" i="1"/>
  <c r="I23" i="1" l="1"/>
  <c r="N4" i="1"/>
  <c r="N5" i="1"/>
  <c r="N6" i="1"/>
  <c r="P8" i="1" l="1"/>
  <c r="K7" i="4" s="1"/>
  <c r="K8" i="4" s="1"/>
  <c r="K5" i="1"/>
  <c r="Q5" i="1" s="1"/>
  <c r="R5" i="1" s="1"/>
  <c r="K6" i="1"/>
  <c r="Q6" i="1" s="1"/>
  <c r="R6" i="1" s="1"/>
  <c r="T6" i="1" s="1"/>
  <c r="K4" i="1"/>
  <c r="Q4" i="1" s="1"/>
  <c r="R4" i="1" s="1"/>
  <c r="R8" i="1" l="1"/>
  <c r="Q8" i="1"/>
  <c r="T5" i="1"/>
  <c r="T4" i="1"/>
  <c r="T8" i="1" l="1"/>
</calcChain>
</file>

<file path=xl/sharedStrings.xml><?xml version="1.0" encoding="utf-8"?>
<sst xmlns="http://schemas.openxmlformats.org/spreadsheetml/2006/main" count="55" uniqueCount="44">
  <si>
    <t>SR. No.</t>
  </si>
  <si>
    <t>Floor</t>
  </si>
  <si>
    <t>Particular</t>
  </si>
  <si>
    <t>Type of Structure</t>
  </si>
  <si>
    <t xml:space="preserve">Year of Valuation </t>
  </si>
  <si>
    <t>Total Life Consumed 
(In year)</t>
  </si>
  <si>
    <t>Total Economical Life
(In year)</t>
  </si>
  <si>
    <t>Salvage value</t>
  </si>
  <si>
    <t>Depreciation Rate</t>
  </si>
  <si>
    <t>Plinth Area  Rate 
(In per sq ft)</t>
  </si>
  <si>
    <t>Gross Replacement Value
(INR)</t>
  </si>
  <si>
    <t xml:space="preserve">Depreciation
(INR) </t>
  </si>
  <si>
    <t>Depreciated Value
(INR)</t>
  </si>
  <si>
    <t>Depreciated Replacement Market Value
(INR)</t>
  </si>
  <si>
    <t>Building</t>
  </si>
  <si>
    <t>RCC framed structure</t>
  </si>
  <si>
    <t>First Floor</t>
  </si>
  <si>
    <t>TOTAL</t>
  </si>
  <si>
    <t>Remarks:</t>
  </si>
  <si>
    <t>3. The valuation is done by considering the depreciated replacement cost approach.</t>
  </si>
  <si>
    <t>Detoriation</t>
  </si>
  <si>
    <t>2.The subject property is constructed with RCC technology.</t>
  </si>
  <si>
    <t xml:space="preserve"> Constructed Covered area  in sq.mtr (As per survey)</t>
  </si>
  <si>
    <t xml:space="preserve"> Constructed Covered area  in sq.ft (As per survey)</t>
  </si>
  <si>
    <t>1. All the details pertaing to the building area statement such as area, floor, etc has been taken from the approved building plan shared by  the bank and site survey.</t>
  </si>
  <si>
    <t>Permissible covered Area  as per sanctioned plan 
(in sq ft)</t>
  </si>
  <si>
    <t>Permissible Area  as per sanctioned plan 
(in sq mtr)</t>
  </si>
  <si>
    <t>4.We have considered the year of construction as per the information provided to us by the coordinating person during the survey.</t>
  </si>
  <si>
    <t>Boundary wall valuation</t>
  </si>
  <si>
    <t>Year of Construction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</si>
  <si>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</si>
  <si>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</si>
  <si>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running ft.)</t>
    </r>
  </si>
  <si>
    <t>Discounting Factor</t>
  </si>
  <si>
    <r>
      <t xml:space="preserve">Wall
</t>
    </r>
    <r>
      <rPr>
        <b/>
        <i/>
        <sz val="10"/>
        <rFont val="Calibri"/>
        <family val="2"/>
        <scheme val="minor"/>
      </rPr>
      <t>(in Running ft.)As per approved plan approx.</t>
    </r>
  </si>
  <si>
    <t>land</t>
  </si>
  <si>
    <t>building</t>
  </si>
  <si>
    <t>boundary wall</t>
  </si>
  <si>
    <t>Ground Floor</t>
  </si>
  <si>
    <t>SMT. KAVITA CHAUHAN, LOCATED AT:-  HOUSE NO. N-52, PHASE – III, SHIVALIK NAGAR, BAHADRABAD ROAD YOJANA, B.H.E.L., RANIPUR, DISTRICT HARIDWAR, UTTARAKHAND.</t>
  </si>
  <si>
    <t>Second Floor including Mumty</t>
  </si>
  <si>
    <t xml:space="preserve">6.During the time of our site visit built up area of the subject property is more than the area approved in the sanctioned plan in such a scenario we have considered the lesser area for the purpose of our valuation assessment. </t>
  </si>
  <si>
    <t>5.We have considered the permissible area according to approved building plan dated 01/05/2006.</t>
  </si>
  <si>
    <t>Year of Construction (as per information provided)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</si>
</sst>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.0_ ;_ * \-#,##0.0_ ;_ * &quot;-&quot;??_ ;_ @_ "/>
    <numFmt numFmtId="165" formatCode="0.0000"/>
    <numFmt numFmtId="166" formatCode="_ &quot;₹&quot;\ * #,##0_ ;_ &quot;₹&quot;\ * \-#,##0_ ;_ &quot;₹&quot;\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164" fontId="0" fillId="0" borderId="0" xfId="1" applyNumberFormat="1" applyFont="1"/>
    <xf numFmtId="43" fontId="0" fillId="0" borderId="0" xfId="0" applyNumberFormat="1"/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2" borderId="1" xfId="3" applyFont="1" applyBorder="1" applyAlignment="1">
      <alignment horizontal="center" vertical="center" wrapText="1"/>
    </xf>
    <xf numFmtId="9" fontId="2" fillId="2" borderId="1" xfId="3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6" fontId="0" fillId="0" borderId="1" xfId="4" applyNumberFormat="1" applyFont="1" applyBorder="1" applyAlignment="1">
      <alignment horizontal="center" vertical="center" wrapText="1"/>
    </xf>
    <xf numFmtId="9" fontId="0" fillId="0" borderId="1" xfId="2" applyFont="1" applyBorder="1" applyAlignment="1">
      <alignment horizontal="center" vertical="center" wrapText="1"/>
    </xf>
    <xf numFmtId="166" fontId="2" fillId="0" borderId="1" xfId="4" applyNumberFormat="1" applyFont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 wrapText="1"/>
    </xf>
    <xf numFmtId="43" fontId="0" fillId="0" borderId="0" xfId="1" applyNumberFormat="1" applyFont="1"/>
    <xf numFmtId="44" fontId="0" fillId="0" borderId="0" xfId="0" applyNumberFormat="1"/>
    <xf numFmtId="2" fontId="0" fillId="0" borderId="0" xfId="0" applyNumberFormat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2" fontId="0" fillId="0" borderId="1" xfId="0" applyNumberFormat="1" applyBorder="1"/>
    <xf numFmtId="166" fontId="1" fillId="0" borderId="1" xfId="4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8" fillId="4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6" fontId="0" fillId="0" borderId="1" xfId="5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66" fontId="0" fillId="0" borderId="0" xfId="0" applyNumberFormat="1"/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7" fillId="3" borderId="9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6">
    <cellStyle name="40% - Accent1" xfId="3" builtinId="31"/>
    <cellStyle name="Comma" xfId="1" builtinId="3"/>
    <cellStyle name="Currency" xfId="5" builtinId="4"/>
    <cellStyle name="Currency 2" xf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"/>
  <sheetViews>
    <sheetView showGridLines="0" tabSelected="1" workbookViewId="0">
      <selection sqref="A1:T16"/>
    </sheetView>
  </sheetViews>
  <sheetFormatPr defaultRowHeight="15" x14ac:dyDescent="0.25"/>
  <cols>
    <col min="1" max="1" width="4.140625" customWidth="1"/>
    <col min="2" max="2" width="12.42578125" customWidth="1"/>
    <col min="3" max="3" width="9.42578125" bestFit="1" customWidth="1"/>
    <col min="4" max="4" width="20" bestFit="1" customWidth="1"/>
    <col min="5" max="5" width="15.42578125" style="3" hidden="1" customWidth="1"/>
    <col min="6" max="6" width="15.42578125" style="3" bestFit="1" customWidth="1"/>
    <col min="7" max="7" width="19" style="3" hidden="1" customWidth="1"/>
    <col min="8" max="8" width="15.5703125" bestFit="1" customWidth="1"/>
    <col min="9" max="9" width="12.28515625" bestFit="1" customWidth="1"/>
    <col min="10" max="10" width="9.5703125" bestFit="1" customWidth="1"/>
    <col min="11" max="12" width="10.42578125" bestFit="1" customWidth="1"/>
    <col min="13" max="13" width="12" hidden="1" customWidth="1"/>
    <col min="14" max="14" width="12.42578125" hidden="1" customWidth="1"/>
    <col min="15" max="15" width="12" bestFit="1" customWidth="1"/>
    <col min="16" max="16" width="12.7109375" bestFit="1" customWidth="1"/>
    <col min="17" max="17" width="12.42578125" bestFit="1" customWidth="1"/>
    <col min="18" max="18" width="11.5703125" bestFit="1" customWidth="1"/>
    <col min="19" max="19" width="11.140625" hidden="1" customWidth="1"/>
    <col min="20" max="20" width="13.140625" bestFit="1" customWidth="1"/>
    <col min="21" max="21" width="9" bestFit="1" customWidth="1"/>
    <col min="22" max="22" width="8" bestFit="1" customWidth="1"/>
    <col min="25" max="25" width="9" bestFit="1" customWidth="1"/>
  </cols>
  <sheetData>
    <row r="1" spans="1:25" s="3" customFormat="1" ht="21.95" customHeight="1" x14ac:dyDescent="0.25">
      <c r="A1" s="48" t="s">
        <v>39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25" ht="9.7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</row>
    <row r="3" spans="1:25" ht="75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22</v>
      </c>
      <c r="F3" s="5" t="s">
        <v>23</v>
      </c>
      <c r="G3" s="5" t="s">
        <v>26</v>
      </c>
      <c r="H3" s="5" t="s">
        <v>25</v>
      </c>
      <c r="I3" s="5" t="s">
        <v>43</v>
      </c>
      <c r="J3" s="5" t="s">
        <v>4</v>
      </c>
      <c r="K3" s="5" t="s">
        <v>5</v>
      </c>
      <c r="L3" s="5" t="s">
        <v>6</v>
      </c>
      <c r="M3" s="5" t="s">
        <v>7</v>
      </c>
      <c r="N3" s="5" t="s">
        <v>8</v>
      </c>
      <c r="O3" s="5" t="s">
        <v>9</v>
      </c>
      <c r="P3" s="5" t="s">
        <v>10</v>
      </c>
      <c r="Q3" s="5" t="s">
        <v>11</v>
      </c>
      <c r="R3" s="5" t="s">
        <v>12</v>
      </c>
      <c r="S3" s="6" t="s">
        <v>20</v>
      </c>
      <c r="T3" s="5" t="s">
        <v>13</v>
      </c>
    </row>
    <row r="4" spans="1:25" ht="30" x14ac:dyDescent="0.25">
      <c r="A4" s="7">
        <v>1</v>
      </c>
      <c r="B4" s="4" t="s">
        <v>38</v>
      </c>
      <c r="C4" s="4" t="s">
        <v>14</v>
      </c>
      <c r="D4" s="4" t="s">
        <v>15</v>
      </c>
      <c r="E4" s="26">
        <f>F4/10.764</f>
        <v>185.78595317725754</v>
      </c>
      <c r="F4" s="8">
        <v>1999.8</v>
      </c>
      <c r="G4" s="19">
        <f>90+1.3+12+7.15</f>
        <v>110.45</v>
      </c>
      <c r="H4" s="46">
        <f>G4*10.764</f>
        <v>1188.8838000000001</v>
      </c>
      <c r="I4" s="4">
        <v>2020</v>
      </c>
      <c r="J4" s="4">
        <v>2022</v>
      </c>
      <c r="K4" s="4">
        <f>J4-I4</f>
        <v>2</v>
      </c>
      <c r="L4" s="4">
        <v>60</v>
      </c>
      <c r="M4" s="9">
        <v>0.05</v>
      </c>
      <c r="N4" s="10">
        <f>(1-M4)/L4</f>
        <v>1.5833333333333331E-2</v>
      </c>
      <c r="O4" s="11">
        <v>1600</v>
      </c>
      <c r="P4" s="22">
        <f>O4*H4</f>
        <v>1902214.08</v>
      </c>
      <c r="Q4" s="11">
        <f>P4*N4*K4</f>
        <v>60236.779199999997</v>
      </c>
      <c r="R4" s="11">
        <f>MAX(P4-Q4,0)</f>
        <v>1841977.3008000001</v>
      </c>
      <c r="S4" s="12">
        <v>0</v>
      </c>
      <c r="T4" s="11">
        <f>IF(R4&gt;M4*P4,R4*(1-S4),P4*M4)</f>
        <v>1841977.3008000001</v>
      </c>
      <c r="U4" s="16"/>
      <c r="Y4">
        <v>2.29</v>
      </c>
    </row>
    <row r="5" spans="1:25" x14ac:dyDescent="0.25">
      <c r="A5" s="7">
        <v>2</v>
      </c>
      <c r="B5" s="4" t="s">
        <v>16</v>
      </c>
      <c r="C5" s="4" t="s">
        <v>14</v>
      </c>
      <c r="D5" s="4" t="s">
        <v>15</v>
      </c>
      <c r="E5" s="26">
        <f t="shared" ref="E5:E6" si="0">F5/10.764</f>
        <v>185.78595317725754</v>
      </c>
      <c r="F5" s="8">
        <v>1999.8</v>
      </c>
      <c r="G5" s="19">
        <f>36.76+53.54+3.05</f>
        <v>93.35</v>
      </c>
      <c r="H5" s="46">
        <f t="shared" ref="H5:H6" si="1">G5*10.764</f>
        <v>1004.8193999999999</v>
      </c>
      <c r="I5" s="4">
        <v>2020</v>
      </c>
      <c r="J5" s="4">
        <v>2022</v>
      </c>
      <c r="K5" s="4">
        <f t="shared" ref="K5:K6" si="2">J5-I5</f>
        <v>2</v>
      </c>
      <c r="L5" s="4">
        <v>60</v>
      </c>
      <c r="M5" s="9">
        <v>0.05</v>
      </c>
      <c r="N5" s="10">
        <f t="shared" ref="N5:N6" si="3">(1-M5)/L5</f>
        <v>1.5833333333333331E-2</v>
      </c>
      <c r="O5" s="11">
        <v>1600</v>
      </c>
      <c r="P5" s="22">
        <f t="shared" ref="P5:P6" si="4">O5*H5</f>
        <v>1607711.0399999998</v>
      </c>
      <c r="Q5" s="11">
        <f t="shared" ref="Q5:Q6" si="5">P5*N5*K5</f>
        <v>50910.849599999987</v>
      </c>
      <c r="R5" s="11">
        <f t="shared" ref="R5:R6" si="6">MAX(P5-Q5,0)</f>
        <v>1556800.1903999997</v>
      </c>
      <c r="S5" s="12">
        <v>0</v>
      </c>
      <c r="T5" s="11">
        <f t="shared" ref="T5:T6" si="7">IF(R5&gt;M5*P5,R5*(1-S5),P5*M5)</f>
        <v>1556800.1903999997</v>
      </c>
      <c r="U5" s="16"/>
      <c r="Y5">
        <v>5.0199999999999996</v>
      </c>
    </row>
    <row r="6" spans="1:25" ht="45" x14ac:dyDescent="0.25">
      <c r="A6" s="7">
        <v>3</v>
      </c>
      <c r="B6" s="4" t="s">
        <v>40</v>
      </c>
      <c r="C6" s="4" t="s">
        <v>14</v>
      </c>
      <c r="D6" s="4" t="s">
        <v>15</v>
      </c>
      <c r="E6" s="26">
        <f t="shared" si="0"/>
        <v>155.51839464882943</v>
      </c>
      <c r="F6" s="8">
        <v>1674</v>
      </c>
      <c r="G6" s="19">
        <f>11.91</f>
        <v>11.91</v>
      </c>
      <c r="H6" s="46">
        <f t="shared" si="1"/>
        <v>128.19924</v>
      </c>
      <c r="I6" s="4">
        <v>2020</v>
      </c>
      <c r="J6" s="4">
        <v>2022</v>
      </c>
      <c r="K6" s="4">
        <f t="shared" si="2"/>
        <v>2</v>
      </c>
      <c r="L6" s="4">
        <v>60</v>
      </c>
      <c r="M6" s="9">
        <v>0.05</v>
      </c>
      <c r="N6" s="10">
        <f t="shared" si="3"/>
        <v>1.5833333333333331E-2</v>
      </c>
      <c r="O6" s="11">
        <v>1600</v>
      </c>
      <c r="P6" s="22">
        <f t="shared" si="4"/>
        <v>205118.78400000001</v>
      </c>
      <c r="Q6" s="11">
        <f t="shared" si="5"/>
        <v>6495.4281599999995</v>
      </c>
      <c r="R6" s="11">
        <f t="shared" si="6"/>
        <v>198623.35584</v>
      </c>
      <c r="S6" s="12">
        <v>0</v>
      </c>
      <c r="T6" s="11">
        <f t="shared" si="7"/>
        <v>198623.35584</v>
      </c>
      <c r="U6" s="16"/>
      <c r="Y6">
        <v>7.08</v>
      </c>
    </row>
    <row r="7" spans="1:25" s="3" customFormat="1" x14ac:dyDescent="0.25">
      <c r="A7" s="7"/>
      <c r="B7" s="4"/>
      <c r="C7" s="4"/>
      <c r="D7" s="4"/>
      <c r="E7" s="19"/>
      <c r="F7" s="8"/>
      <c r="G7" s="18"/>
      <c r="H7" s="21"/>
      <c r="I7" s="4"/>
      <c r="J7" s="4"/>
      <c r="K7" s="4"/>
      <c r="L7" s="4"/>
      <c r="M7" s="9"/>
      <c r="N7" s="10"/>
      <c r="O7" s="11"/>
      <c r="P7" s="22"/>
      <c r="Q7" s="11"/>
      <c r="R7" s="11"/>
      <c r="S7" s="12"/>
      <c r="T7" s="11"/>
      <c r="U7" s="16"/>
    </row>
    <row r="8" spans="1:25" x14ac:dyDescent="0.25">
      <c r="A8" s="39" t="s">
        <v>17</v>
      </c>
      <c r="B8" s="39"/>
      <c r="C8" s="39"/>
      <c r="D8" s="39"/>
      <c r="E8" s="47">
        <f>SUM(E4:E7)</f>
        <v>527.09030100334451</v>
      </c>
      <c r="F8" s="20">
        <f t="shared" ref="F8:H8" si="8">SUM(F4:F7)</f>
        <v>5673.6</v>
      </c>
      <c r="G8" s="20">
        <f t="shared" si="8"/>
        <v>215.71</v>
      </c>
      <c r="H8" s="47">
        <f t="shared" si="8"/>
        <v>2321.9024399999998</v>
      </c>
      <c r="I8" s="39"/>
      <c r="J8" s="39"/>
      <c r="K8" s="39"/>
      <c r="L8" s="39"/>
      <c r="M8" s="39"/>
      <c r="N8" s="39"/>
      <c r="O8" s="39"/>
      <c r="P8" s="13">
        <f>SUM(P4:P6)</f>
        <v>3715043.9040000001</v>
      </c>
      <c r="Q8" s="13">
        <f>SUM(Q4:Q6)</f>
        <v>117643.05695999997</v>
      </c>
      <c r="R8" s="13">
        <f>SUM(R4:R6)</f>
        <v>3597400.8470399999</v>
      </c>
      <c r="S8" s="14"/>
      <c r="T8" s="13">
        <f>SUM(T4:T6)</f>
        <v>3597400.8470399999</v>
      </c>
      <c r="U8" s="16"/>
      <c r="V8" s="16"/>
      <c r="Y8">
        <v>17.260000000000002</v>
      </c>
    </row>
    <row r="9" spans="1:25" x14ac:dyDescent="0.25">
      <c r="A9" s="44" t="s">
        <v>18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V9" s="16"/>
      <c r="Y9">
        <v>14.28</v>
      </c>
    </row>
    <row r="10" spans="1:25" x14ac:dyDescent="0.25">
      <c r="A10" s="40" t="s">
        <v>24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Y10">
        <f>SUM(Y4:Y9)</f>
        <v>45.93</v>
      </c>
    </row>
    <row r="11" spans="1:25" s="3" customFormat="1" x14ac:dyDescent="0.25">
      <c r="A11" s="41" t="s">
        <v>21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3"/>
      <c r="Y11" s="3">
        <f>Y10*3.28</f>
        <v>150.65039999999999</v>
      </c>
    </row>
    <row r="12" spans="1:25" x14ac:dyDescent="0.25">
      <c r="A12" s="40" t="s">
        <v>19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V12">
        <f>12000*449.96</f>
        <v>5399520</v>
      </c>
    </row>
    <row r="13" spans="1:25" s="3" customFormat="1" x14ac:dyDescent="0.25">
      <c r="A13" s="38" t="s">
        <v>27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</row>
    <row r="14" spans="1:25" x14ac:dyDescent="0.25">
      <c r="A14" s="38" t="s">
        <v>42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</row>
    <row r="15" spans="1:25" s="3" customFormat="1" x14ac:dyDescent="0.25">
      <c r="A15" s="32" t="s">
        <v>41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4"/>
    </row>
    <row r="16" spans="1:25" s="3" customFormat="1" x14ac:dyDescent="0.25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7"/>
    </row>
    <row r="17" spans="1:18" x14ac:dyDescent="0.25">
      <c r="A17" s="23"/>
    </row>
    <row r="18" spans="1:18" x14ac:dyDescent="0.25">
      <c r="J18" s="1"/>
      <c r="K18">
        <v>83</v>
      </c>
      <c r="L18" s="15"/>
      <c r="M18">
        <v>350</v>
      </c>
      <c r="R18">
        <f>83.612*56640</f>
        <v>4735783.68</v>
      </c>
    </row>
    <row r="19" spans="1:18" x14ac:dyDescent="0.25">
      <c r="I19">
        <f>3320/10.764</f>
        <v>308.4355258268302</v>
      </c>
      <c r="J19" s="2"/>
      <c r="M19">
        <f>M18*K18/100</f>
        <v>290.5</v>
      </c>
    </row>
    <row r="21" spans="1:18" x14ac:dyDescent="0.25">
      <c r="E21" s="3">
        <v>124.52</v>
      </c>
      <c r="I21">
        <f>83*350/100</f>
        <v>290.5</v>
      </c>
      <c r="K21">
        <f>(350*83/100)*9</f>
        <v>2614.5</v>
      </c>
      <c r="O21">
        <f>100*9</f>
        <v>900</v>
      </c>
    </row>
    <row r="22" spans="1:18" x14ac:dyDescent="0.25">
      <c r="E22" s="3">
        <v>14.4</v>
      </c>
      <c r="I22">
        <f>I21*10.764</f>
        <v>3126.942</v>
      </c>
      <c r="K22">
        <f>K21/3</f>
        <v>871.5</v>
      </c>
      <c r="O22">
        <f>O21/10.764</f>
        <v>83.612040133779274</v>
      </c>
    </row>
    <row r="23" spans="1:18" x14ac:dyDescent="0.25">
      <c r="E23" s="3">
        <f>SUM(E21:E22)</f>
        <v>138.91999999999999</v>
      </c>
      <c r="H23">
        <f>3127/10.74</f>
        <v>291.15456238361264</v>
      </c>
      <c r="I23" s="17" t="e">
        <f>#REF!-I22</f>
        <v>#REF!</v>
      </c>
    </row>
    <row r="24" spans="1:18" x14ac:dyDescent="0.25">
      <c r="M24">
        <f>3127/10.764</f>
        <v>290.50538833147533</v>
      </c>
    </row>
    <row r="26" spans="1:18" x14ac:dyDescent="0.25">
      <c r="O26">
        <f>90*3.5</f>
        <v>315</v>
      </c>
    </row>
    <row r="27" spans="1:18" x14ac:dyDescent="0.25">
      <c r="O27">
        <f>O26*9</f>
        <v>2835</v>
      </c>
    </row>
  </sheetData>
  <mergeCells count="10">
    <mergeCell ref="A1:T2"/>
    <mergeCell ref="A15:T16"/>
    <mergeCell ref="A8:D8"/>
    <mergeCell ref="I8:O8"/>
    <mergeCell ref="A10:T10"/>
    <mergeCell ref="A11:T11"/>
    <mergeCell ref="A9:T9"/>
    <mergeCell ref="A12:T12"/>
    <mergeCell ref="A13:T13"/>
    <mergeCell ref="A14:T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C8" sqref="C8"/>
    </sheetView>
  </sheetViews>
  <sheetFormatPr defaultRowHeight="15" x14ac:dyDescent="0.25"/>
  <cols>
    <col min="1" max="1" width="9" customWidth="1"/>
    <col min="2" max="2" width="10.42578125" customWidth="1"/>
    <col min="3" max="3" width="10" customWidth="1"/>
    <col min="4" max="4" width="12" customWidth="1"/>
    <col min="5" max="5" width="10.42578125" customWidth="1"/>
    <col min="6" max="6" width="7.7109375" hidden="1" customWidth="1"/>
    <col min="7" max="7" width="9" hidden="1" customWidth="1"/>
    <col min="8" max="8" width="10.28515625" customWidth="1"/>
    <col min="9" max="9" width="10.7109375" customWidth="1"/>
    <col min="10" max="10" width="9" hidden="1" customWidth="1"/>
    <col min="11" max="11" width="13.28515625" customWidth="1"/>
    <col min="12" max="12" width="8.7109375" hidden="1" customWidth="1"/>
    <col min="13" max="13" width="12.5703125" customWidth="1"/>
  </cols>
  <sheetData>
    <row r="1" spans="1:19" ht="15.75" customHeight="1" x14ac:dyDescent="0.25">
      <c r="A1" s="45" t="s">
        <v>28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9" ht="91.5" x14ac:dyDescent="0.25">
      <c r="A2" s="24" t="s">
        <v>34</v>
      </c>
      <c r="B2" s="24" t="s">
        <v>29</v>
      </c>
      <c r="C2" s="24" t="s">
        <v>4</v>
      </c>
      <c r="D2" s="24" t="s">
        <v>30</v>
      </c>
      <c r="E2" s="24" t="s">
        <v>31</v>
      </c>
      <c r="F2" s="24" t="s">
        <v>7</v>
      </c>
      <c r="G2" s="24" t="s">
        <v>8</v>
      </c>
      <c r="H2" s="24" t="s">
        <v>32</v>
      </c>
      <c r="I2" s="24" t="s">
        <v>10</v>
      </c>
      <c r="J2" s="24" t="s">
        <v>11</v>
      </c>
      <c r="K2" s="24" t="s">
        <v>12</v>
      </c>
      <c r="L2" s="24" t="s">
        <v>33</v>
      </c>
      <c r="M2" s="24" t="s">
        <v>13</v>
      </c>
    </row>
    <row r="3" spans="1:19" x14ac:dyDescent="0.25">
      <c r="A3" s="25">
        <v>220</v>
      </c>
      <c r="B3" s="26">
        <v>2022</v>
      </c>
      <c r="C3" s="26">
        <v>2022</v>
      </c>
      <c r="D3" s="26">
        <f>C3-B3</f>
        <v>0</v>
      </c>
      <c r="E3" s="26">
        <v>35</v>
      </c>
      <c r="F3" s="27">
        <v>0.1</v>
      </c>
      <c r="G3" s="28">
        <f>(1-F3)/E3</f>
        <v>2.5714285714285714E-2</v>
      </c>
      <c r="H3" s="29">
        <v>1500</v>
      </c>
      <c r="I3" s="29">
        <f>H3*A3</f>
        <v>330000</v>
      </c>
      <c r="J3" s="29">
        <f>I3*G3*D3</f>
        <v>0</v>
      </c>
      <c r="K3" s="29">
        <f>MAX(I3-J3,0)</f>
        <v>330000</v>
      </c>
      <c r="L3" s="30">
        <v>0</v>
      </c>
      <c r="M3" s="29">
        <f>IF(K3&gt;F3*I3,K3*(1-L3),I3*F3)</f>
        <v>330000</v>
      </c>
    </row>
    <row r="6" spans="1:19" x14ac:dyDescent="0.25">
      <c r="K6" s="31">
        <v>220000</v>
      </c>
      <c r="N6">
        <v>3.28</v>
      </c>
    </row>
    <row r="7" spans="1:19" x14ac:dyDescent="0.25">
      <c r="K7">
        <f>'working of building'!P8</f>
        <v>3715043.9040000001</v>
      </c>
      <c r="N7">
        <v>5000</v>
      </c>
      <c r="S7">
        <v>280</v>
      </c>
    </row>
    <row r="8" spans="1:19" x14ac:dyDescent="0.25">
      <c r="K8" s="31">
        <f>SUM(K6:K7)</f>
        <v>3935043.9040000001</v>
      </c>
      <c r="N8">
        <f>N7/N6</f>
        <v>1524.3902439024391</v>
      </c>
      <c r="P8">
        <v>449.96</v>
      </c>
      <c r="S8">
        <f>S7*1.196</f>
        <v>334.88</v>
      </c>
    </row>
    <row r="9" spans="1:19" x14ac:dyDescent="0.25">
      <c r="P9">
        <f>P8*10.764</f>
        <v>4843.3694399999995</v>
      </c>
      <c r="S9">
        <f>S8*36000</f>
        <v>12055680</v>
      </c>
    </row>
    <row r="11" spans="1:19" x14ac:dyDescent="0.25">
      <c r="K11">
        <v>20600000</v>
      </c>
      <c r="M11">
        <v>206</v>
      </c>
    </row>
    <row r="12" spans="1:19" x14ac:dyDescent="0.25">
      <c r="K12">
        <f>K11*0.85</f>
        <v>17510000</v>
      </c>
      <c r="M12">
        <f>M11*0.85</f>
        <v>175.1</v>
      </c>
      <c r="O12">
        <f>1-10691520/20600000</f>
        <v>0.48099417475728157</v>
      </c>
      <c r="S12">
        <v>280</v>
      </c>
    </row>
    <row r="13" spans="1:19" x14ac:dyDescent="0.25">
      <c r="K13">
        <f>K11*0.75</f>
        <v>15450000</v>
      </c>
      <c r="S13">
        <v>18000</v>
      </c>
    </row>
    <row r="14" spans="1:19" x14ac:dyDescent="0.25">
      <c r="S14">
        <f>S13*S12</f>
        <v>5040000</v>
      </c>
    </row>
    <row r="15" spans="1:19" x14ac:dyDescent="0.25">
      <c r="S15">
        <f>S14*1.05</f>
        <v>5292000</v>
      </c>
    </row>
  </sheetData>
  <mergeCells count="1">
    <mergeCell ref="A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N18"/>
  <sheetViews>
    <sheetView workbookViewId="0">
      <selection activeCell="N12" sqref="N12"/>
    </sheetView>
  </sheetViews>
  <sheetFormatPr defaultRowHeight="15" x14ac:dyDescent="0.25"/>
  <cols>
    <col min="5" max="5" width="13.7109375" bestFit="1" customWidth="1"/>
  </cols>
  <sheetData>
    <row r="5" spans="5:14" x14ac:dyDescent="0.25">
      <c r="E5" t="s">
        <v>35</v>
      </c>
      <c r="F5">
        <v>12055680</v>
      </c>
    </row>
    <row r="6" spans="5:14" x14ac:dyDescent="0.25">
      <c r="E6" t="s">
        <v>36</v>
      </c>
      <c r="F6">
        <v>6816454</v>
      </c>
      <c r="H6">
        <f>F6+F7</f>
        <v>7146454</v>
      </c>
      <c r="L6">
        <v>334.88</v>
      </c>
    </row>
    <row r="7" spans="5:14" x14ac:dyDescent="0.25">
      <c r="E7" t="s">
        <v>37</v>
      </c>
      <c r="F7">
        <v>330000</v>
      </c>
      <c r="L7">
        <v>36000</v>
      </c>
    </row>
    <row r="8" spans="5:14" x14ac:dyDescent="0.25">
      <c r="F8">
        <f>SUM(F5:F7)</f>
        <v>19202134</v>
      </c>
      <c r="L8">
        <f>L7*L6</f>
        <v>12055680</v>
      </c>
    </row>
    <row r="9" spans="5:14" x14ac:dyDescent="0.25">
      <c r="H9">
        <v>19600000</v>
      </c>
    </row>
    <row r="10" spans="5:14" x14ac:dyDescent="0.25">
      <c r="H10">
        <f>H9*0.85</f>
        <v>16660000</v>
      </c>
    </row>
    <row r="11" spans="5:14" x14ac:dyDescent="0.25">
      <c r="H11">
        <f>H9*0.75</f>
        <v>14700000</v>
      </c>
    </row>
    <row r="12" spans="5:14" x14ac:dyDescent="0.25">
      <c r="N12">
        <f>75.74+140</f>
        <v>215.74</v>
      </c>
    </row>
    <row r="16" spans="5:14" x14ac:dyDescent="0.25">
      <c r="J16">
        <v>334.88</v>
      </c>
    </row>
    <row r="17" spans="10:10" x14ac:dyDescent="0.25">
      <c r="J17">
        <v>36000</v>
      </c>
    </row>
    <row r="18" spans="10:10" x14ac:dyDescent="0.25">
      <c r="J18">
        <f>J17*J16</f>
        <v>12055680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working of building</vt:lpstr>
      <vt:lpstr>Boundary wall</vt:lpstr>
      <vt:lpstr>summary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Gupta</dc:creator>
  <cp:lastModifiedBy>Rahul Gupta</cp:lastModifiedBy>
  <dcterms:created xsi:type="dcterms:W3CDTF">2022-07-22T06:40:54Z</dcterms:created>
  <dcterms:modified xsi:type="dcterms:W3CDTF">2022-09-08T15:16:37Z</dcterms:modified>
</cp:coreProperties>
</file>