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up Banerjee\VIS(2022-23)-PL312-238-444\"/>
    </mc:Choice>
  </mc:AlternateContent>
  <bookViews>
    <workbookView showVerticalScroll="0" xWindow="0" yWindow="0" windowWidth="16170" windowHeight="6120"/>
  </bookViews>
  <sheets>
    <sheet name="Building" sheetId="1" r:id="rId1"/>
    <sheet name="Land" sheetId="2" r:id="rId2"/>
  </sheets>
  <definedNames>
    <definedName name="_xlnm.Print_Area" localSheetId="0">Building!$B$2:$R$12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27" i="1" l="1"/>
  <c r="R26" i="1"/>
  <c r="C15" i="1"/>
  <c r="M14" i="1" l="1"/>
  <c r="R7" i="1" s="1"/>
  <c r="K14" i="1"/>
  <c r="I19" i="2" l="1"/>
  <c r="M16" i="1"/>
  <c r="J20" i="2"/>
  <c r="K18" i="2"/>
  <c r="J26" i="2" l="1"/>
  <c r="S17" i="1"/>
  <c r="S16" i="1"/>
  <c r="U13" i="1" l="1"/>
  <c r="T16" i="1"/>
  <c r="T17" i="1" s="1"/>
  <c r="J26" i="1"/>
  <c r="I26" i="1"/>
  <c r="N5" i="1" l="1"/>
  <c r="Q16" i="1" l="1"/>
  <c r="Q15" i="1"/>
  <c r="L5" i="1" l="1"/>
  <c r="I5" i="1" l="1"/>
  <c r="O5" i="1" s="1"/>
  <c r="P5" i="1" l="1"/>
  <c r="R5" i="1" l="1"/>
  <c r="E6" i="1"/>
  <c r="J27" i="2" l="1"/>
  <c r="J28" i="2" s="1"/>
  <c r="J29" i="2" s="1"/>
  <c r="S5" i="1"/>
  <c r="N6" i="1"/>
  <c r="P6" i="1" l="1"/>
  <c r="R6" i="1"/>
  <c r="R8" i="1" s="1"/>
  <c r="C16" i="1" s="1"/>
  <c r="C17" i="1" l="1"/>
  <c r="C19" i="1" l="1"/>
  <c r="E19" i="1" s="1"/>
  <c r="C20" i="1"/>
</calcChain>
</file>

<file path=xl/comments1.xml><?xml version="1.0" encoding="utf-8"?>
<comments xmlns="http://schemas.openxmlformats.org/spreadsheetml/2006/main">
  <authors>
    <author>admin</author>
  </authors>
  <commentList>
    <comment ref="S30" authorId="0" shape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<sst xmlns="http://schemas.openxmlformats.org/spreadsheetml/2006/main" count="57" uniqueCount="53">
  <si>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</si>
  <si>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</si>
  <si>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</si>
  <si>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</si>
  <si>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</si>
  <si>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</si>
  <si>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</si>
  <si>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</si>
  <si>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</si>
  <si>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</si>
  <si>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</si>
  <si>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</si>
  <si>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</si>
  <si>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</si>
  <si>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</si>
  <si>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</si>
  <si>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t>RV</t>
  </si>
  <si>
    <t>DV</t>
  </si>
  <si>
    <t>TOTAL FMV</t>
  </si>
  <si>
    <t>ROUND OFF</t>
  </si>
  <si>
    <t>PREMIUM</t>
  </si>
  <si>
    <t>LAND</t>
  </si>
  <si>
    <t>BUILDING</t>
  </si>
  <si>
    <t>Land value</t>
  </si>
  <si>
    <t>Circle Rate</t>
  </si>
  <si>
    <r>
      <t xml:space="preserve">Area
</t>
    </r>
    <r>
      <rPr>
        <b/>
        <i/>
        <sz val="10"/>
        <rFont val="Calibri"/>
        <family val="2"/>
        <scheme val="minor"/>
      </rPr>
      <t>(in sq.ft)</t>
    </r>
  </si>
  <si>
    <r>
      <t>Height (</t>
    </r>
    <r>
      <rPr>
        <b/>
        <i/>
        <sz val="10"/>
        <rFont val="Calibri"/>
        <family val="2"/>
        <scheme val="minor"/>
      </rPr>
      <t>in ft.)</t>
    </r>
  </si>
  <si>
    <t>RCC structure</t>
  </si>
  <si>
    <t>BIFURCATION OF LAND DETAILS OF LT. COL. ASHOKA GAUTAM | SECTOR 4, DEFENCE COLONY, DEHRADUN</t>
  </si>
  <si>
    <t>Type of Transfer</t>
  </si>
  <si>
    <t>Plot No.</t>
  </si>
  <si>
    <t>Land Area (in sq.mtr.)</t>
  </si>
  <si>
    <t>Land Area (in sq.yds.)</t>
  </si>
  <si>
    <t>Sale deed</t>
  </si>
  <si>
    <t>B-227</t>
  </si>
  <si>
    <t>S. No.</t>
  </si>
  <si>
    <t>Deed Dated</t>
  </si>
  <si>
    <t>Directions</t>
  </si>
  <si>
    <t>North- Society Land</t>
  </si>
  <si>
    <t>South- Society Land</t>
  </si>
  <si>
    <t>East- Society Land</t>
  </si>
  <si>
    <t>West- Plot S-4, B-227 (Owned Plot)</t>
  </si>
  <si>
    <t>North- 35 ft. wide road</t>
  </si>
  <si>
    <t>East- Open area of Nullah</t>
  </si>
  <si>
    <t>South- Plot S-4, B-232</t>
  </si>
  <si>
    <t>West- Plot S-4, B-228</t>
  </si>
  <si>
    <r>
      <t xml:space="preserve">1. </t>
    </r>
    <r>
      <rPr>
        <i/>
        <sz val="10"/>
        <color theme="1"/>
        <rFont val="Calibri"/>
        <family val="2"/>
        <scheme val="minor"/>
      </rPr>
      <t>All the details pertaining to the building area statement such as area, floor, etc has been taken from the old valuatio report since no approved building plan was provided to us and  sample measurement couln't be taken during site survey since the property was locked &amp; no owner;s representative was present during site survey.</t>
    </r>
  </si>
  <si>
    <r>
      <t>3.</t>
    </r>
    <r>
      <rPr>
        <i/>
        <sz val="10"/>
        <color theme="1"/>
        <rFont val="Calibri"/>
        <family val="2"/>
        <scheme val="minor"/>
      </rPr>
      <t xml:space="preserve"> The valuation is done by considering the Depreciated Replacement Cost Approach.</t>
    </r>
  </si>
  <si>
    <t>Grand Total (1+2)</t>
  </si>
  <si>
    <t>BUILDING VALUATION FOR THE PROPERTY OF MR. PRADEEP GARG S/O. P.N. GARG | SECTOR 14 FARIDABAD HARYANA</t>
  </si>
  <si>
    <t>Ground Floor + First Floor</t>
  </si>
  <si>
    <t>Boundary wall @ Rs.2,000/- per running mtr. for ~125 mtr.</t>
  </si>
  <si>
    <r>
      <t xml:space="preserve">2. </t>
    </r>
    <r>
      <rPr>
        <i/>
        <sz val="10"/>
        <color theme="1"/>
        <rFont val="Calibri"/>
        <family val="2"/>
        <scheme val="minor"/>
      </rPr>
      <t>All the structure/s that has been taken from the area statement provided in the old valuation report provided by the bank. Sample measurement was not allowed by the client.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</si>
</sst>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9"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family val="2"/>
    </font>
    <font>
      <b/>
      <sz val="9"/>
      <color indexed="81"/>
      <name val="Tahoma"/>
      <family val="2"/>
    </font>
    <font>
      <i/>
      <sz val="10"/>
      <color theme="1"/>
      <name val="Calibri"/>
      <family val="2"/>
      <scheme val="minor"/>
    </font>
    <font>
      <b/>
      <sz val="12"/>
      <name val="Calibri"/>
      <family val="2"/>
      <scheme val="minor"/>
    </font>
    <font>
      <b/>
      <sz val="11"/>
      <color theme="0"/>
      <name val="Calibri"/>
      <family val="2"/>
      <scheme val="minor"/>
    </font>
    <font>
      <b/>
      <sz val="12"/>
      <color rgb="FFFFFFFF"/>
      <name val="Calibri"/>
      <family val="2"/>
    </font>
    <font>
      <b/>
      <sz val="10"/>
      <color rgb="FF000000"/>
      <name val="Calibri"/>
      <family val="2"/>
    </font>
    <font>
      <sz val="11"/>
      <color rgb="FF000000"/>
      <name val="Calibri"/>
      <family val="2"/>
    </font>
    <font>
      <b/>
      <sz val="11"/>
      <color rgb="FF000000"/>
      <name val="Calibri"/>
      <family val="2"/>
    </font>
    <font>
      <b/>
      <sz val="12"/>
      <color rgb="FF000000"/>
      <name val="Calibri"/>
      <family val="2"/>
    </font>
    <font>
      <b/>
      <sz val="14"/>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9BC2E6"/>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2" fillId="5" borderId="0" xfId="0" applyFont="1" applyFill="1"/>
    <xf numFmtId="0" fontId="2" fillId="5" borderId="0" xfId="0" applyFont="1" applyFill="1" applyAlignment="1">
      <alignment wrapText="1"/>
    </xf>
    <xf numFmtId="167" fontId="0" fillId="4" borderId="0" xfId="0" applyNumberFormat="1" applyFill="1"/>
    <xf numFmtId="167" fontId="2" fillId="4" borderId="0" xfId="0" applyNumberFormat="1" applyFont="1" applyFill="1"/>
    <xf numFmtId="166" fontId="2" fillId="4" borderId="0" xfId="1" applyNumberFormat="1" applyFont="1" applyFill="1"/>
    <xf numFmtId="0" fontId="11" fillId="5" borderId="0" xfId="0" applyFont="1" applyFill="1" applyAlignment="1">
      <alignment horizontal="center"/>
    </xf>
    <xf numFmtId="167" fontId="0" fillId="0" borderId="0" xfId="0" applyNumberFormat="1"/>
    <xf numFmtId="164" fontId="4" fillId="2" borderId="1" xfId="3" applyNumberFormat="1" applyFont="1" applyFill="1" applyBorder="1" applyAlignment="1">
      <alignment horizontal="center" vertical="center" wrapText="1"/>
    </xf>
    <xf numFmtId="164" fontId="0" fillId="0" borderId="0" xfId="3" applyNumberFormat="1" applyFont="1" applyAlignment="1">
      <alignment horizontal="center"/>
    </xf>
    <xf numFmtId="44" fontId="0" fillId="0" borderId="0" xfId="1" applyFont="1" applyAlignment="1">
      <alignment wrapText="1"/>
    </xf>
    <xf numFmtId="168" fontId="0" fillId="0" borderId="0" xfId="3" applyNumberFormat="1" applyFont="1"/>
    <xf numFmtId="0" fontId="2" fillId="6" borderId="0" xfId="0" applyFont="1" applyFill="1" applyAlignment="1">
      <alignment wrapText="1"/>
    </xf>
    <xf numFmtId="168" fontId="0" fillId="6" borderId="0" xfId="0" applyNumberFormat="1" applyFill="1" applyAlignment="1">
      <alignment horizontal="center" wrapText="1"/>
    </xf>
    <xf numFmtId="43" fontId="0" fillId="0" borderId="0" xfId="0" applyNumberFormat="1"/>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4" xfId="0" applyFont="1" applyBorder="1" applyAlignment="1">
      <alignment horizontal="center" vertical="center"/>
    </xf>
    <xf numFmtId="0" fontId="17" fillId="0" borderId="16" xfId="0" applyFont="1" applyBorder="1" applyAlignment="1">
      <alignment horizontal="center" vertical="center"/>
    </xf>
    <xf numFmtId="0" fontId="16" fillId="0" borderId="17" xfId="0" applyFont="1" applyBorder="1" applyAlignment="1">
      <alignment vertical="center"/>
    </xf>
    <xf numFmtId="0" fontId="14" fillId="7" borderId="18"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4" fillId="7" borderId="20" xfId="0" applyFont="1" applyFill="1" applyBorder="1" applyAlignment="1">
      <alignment horizontal="center" vertical="center" wrapText="1"/>
    </xf>
    <xf numFmtId="43" fontId="0" fillId="0" borderId="0" xfId="3" applyFont="1"/>
    <xf numFmtId="164" fontId="0" fillId="0" borderId="0" xfId="3" applyNumberFormat="1" applyFont="1"/>
    <xf numFmtId="166" fontId="1" fillId="0" borderId="1" xfId="1" applyNumberFormat="1" applyFont="1" applyBorder="1" applyAlignment="1">
      <alignment horizontal="center" vertical="center"/>
    </xf>
    <xf numFmtId="0" fontId="0" fillId="0" borderId="1" xfId="0" applyBorder="1"/>
    <xf numFmtId="166" fontId="0" fillId="0" borderId="0" xfId="2" applyNumberFormat="1" applyFont="1" applyAlignment="1">
      <alignment horizontal="center"/>
    </xf>
    <xf numFmtId="164" fontId="0" fillId="0" borderId="1" xfId="3" applyNumberFormat="1" applyFont="1" applyBorder="1" applyAlignment="1">
      <alignment horizontal="center" vertical="center"/>
    </xf>
    <xf numFmtId="0" fontId="7" fillId="0" borderId="1" xfId="0" applyFont="1" applyBorder="1" applyAlignment="1">
      <alignment horizontal="left"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5" xfId="0" applyFont="1" applyBorder="1" applyAlignment="1">
      <alignment horizontal="center" vertical="center"/>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5" fillId="0" borderId="8" xfId="0" applyFont="1" applyBorder="1" applyAlignment="1">
      <alignment horizontal="center" vertical="center"/>
    </xf>
    <xf numFmtId="0" fontId="15" fillId="0" borderId="13" xfId="0" applyFont="1" applyBorder="1" applyAlignment="1">
      <alignment horizontal="center" vertical="center"/>
    </xf>
    <xf numFmtId="14" fontId="15" fillId="0" borderId="8" xfId="0" applyNumberFormat="1" applyFont="1" applyBorder="1" applyAlignment="1">
      <alignment horizontal="center" vertical="center"/>
    </xf>
    <xf numFmtId="14" fontId="15" fillId="0" borderId="1" xfId="0" applyNumberFormat="1" applyFont="1" applyBorder="1" applyAlignment="1">
      <alignment horizontal="center" vertical="center"/>
    </xf>
    <xf numFmtId="14" fontId="15" fillId="0" borderId="13" xfId="0" applyNumberFormat="1"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31"/>
  <sheetViews>
    <sheetView tabSelected="1" zoomScaleNormal="100" zoomScaleSheetLayoutView="85" workbookViewId="0">
      <selection activeCell="H16" sqref="H16"/>
    </sheetView>
  </sheetViews>
  <sheetFormatPr defaultRowHeight="15" x14ac:dyDescent="0.25"/>
  <cols>
    <col min="2" max="2" width="6.5703125" customWidth="1"/>
    <col min="3" max="3" width="14.5703125" style="17" bestFit="1" customWidth="1"/>
    <col min="4" max="4" width="9.85546875" style="17" customWidth="1"/>
    <col min="5" max="5" width="13.28515625" style="27" bestFit="1" customWidth="1"/>
    <col min="6" max="6" width="7.140625" bestFit="1" customWidth="1"/>
    <col min="7" max="7" width="10.42578125" customWidth="1"/>
    <col min="8" max="8" width="9.42578125" customWidth="1"/>
    <col min="9" max="9" width="10.42578125" customWidth="1"/>
    <col min="10" max="10" width="11.5703125" customWidth="1"/>
    <col min="11" max="11" width="7.7109375" hidden="1" customWidth="1"/>
    <col min="12" max="12" width="12.42578125" hidden="1" customWidth="1"/>
    <col min="13" max="13" width="11.5703125" bestFit="1" customWidth="1"/>
    <col min="14" max="14" width="13.28515625" bestFit="1" customWidth="1"/>
    <col min="15" max="15" width="12.42578125" hidden="1" customWidth="1"/>
    <col min="16" max="16" width="13.28515625" hidden="1" customWidth="1"/>
    <col min="17" max="17" width="14.28515625" hidden="1" customWidth="1"/>
    <col min="18" max="18" width="13.28515625" style="18" bestFit="1" customWidth="1"/>
    <col min="19" max="19" width="17" bestFit="1" customWidth="1"/>
    <col min="20" max="21" width="14.28515625" bestFit="1" customWidth="1"/>
  </cols>
  <sheetData>
    <row r="3" spans="2:21" ht="43.5" customHeight="1" x14ac:dyDescent="0.25">
      <c r="B3" s="53" t="s">
        <v>49</v>
      </c>
      <c r="C3" s="54"/>
      <c r="D3" s="54"/>
      <c r="E3" s="54"/>
      <c r="F3" s="54"/>
      <c r="G3" s="54"/>
      <c r="H3" s="54"/>
      <c r="I3" s="54"/>
      <c r="J3" s="54"/>
      <c r="K3" s="54"/>
      <c r="L3" s="54"/>
      <c r="M3" s="54"/>
      <c r="N3" s="54"/>
      <c r="O3" s="54"/>
      <c r="P3" s="54"/>
      <c r="Q3" s="54"/>
      <c r="R3" s="55"/>
    </row>
    <row r="4" spans="2:21" s="15" customFormat="1" ht="60" x14ac:dyDescent="0.25">
      <c r="B4" s="13" t="s">
        <v>35</v>
      </c>
      <c r="C4" s="14" t="s">
        <v>0</v>
      </c>
      <c r="D4" s="14" t="s">
        <v>3</v>
      </c>
      <c r="E4" s="26" t="s">
        <v>25</v>
      </c>
      <c r="F4" s="14" t="s">
        <v>26</v>
      </c>
      <c r="G4" s="14" t="s">
        <v>1</v>
      </c>
      <c r="H4" s="14" t="s">
        <v>2</v>
      </c>
      <c r="I4" s="14" t="s">
        <v>12</v>
      </c>
      <c r="J4" s="14" t="s">
        <v>13</v>
      </c>
      <c r="K4" s="14" t="s">
        <v>4</v>
      </c>
      <c r="L4" s="14" t="s">
        <v>6</v>
      </c>
      <c r="M4" s="14" t="s">
        <v>14</v>
      </c>
      <c r="N4" s="14" t="s">
        <v>10</v>
      </c>
      <c r="O4" s="14" t="s">
        <v>7</v>
      </c>
      <c r="P4" s="14" t="s">
        <v>8</v>
      </c>
      <c r="Q4" s="14" t="s">
        <v>11</v>
      </c>
      <c r="R4" s="14" t="s">
        <v>9</v>
      </c>
    </row>
    <row r="5" spans="2:21" ht="75.75" customHeight="1" x14ac:dyDescent="0.25">
      <c r="B5" s="2">
        <v>1</v>
      </c>
      <c r="C5" s="16" t="s">
        <v>50</v>
      </c>
      <c r="D5" s="16" t="s">
        <v>27</v>
      </c>
      <c r="E5" s="51">
        <v>9092</v>
      </c>
      <c r="F5" s="10">
        <v>25</v>
      </c>
      <c r="G5" s="2">
        <v>1995</v>
      </c>
      <c r="H5" s="2">
        <v>2022</v>
      </c>
      <c r="I5" s="2">
        <f>H5-G5</f>
        <v>27</v>
      </c>
      <c r="J5" s="2">
        <v>60</v>
      </c>
      <c r="K5" s="3">
        <v>0.1</v>
      </c>
      <c r="L5" s="5">
        <f>(1-K5)/J5</f>
        <v>1.5000000000000001E-2</v>
      </c>
      <c r="M5" s="6">
        <v>1700</v>
      </c>
      <c r="N5" s="6">
        <f>M5*E5</f>
        <v>15456400</v>
      </c>
      <c r="O5" s="6">
        <f>N5*L5*I5</f>
        <v>6259842.0000000009</v>
      </c>
      <c r="P5" s="6">
        <f t="shared" ref="P5" si="0">MAX(N5-O5,0)</f>
        <v>9196558</v>
      </c>
      <c r="Q5" s="11">
        <v>0</v>
      </c>
      <c r="R5" s="6">
        <f t="shared" ref="R5" si="1">IF(P5&gt;K5*N5,P5*(1-Q5),N5*K5)</f>
        <v>9196558</v>
      </c>
      <c r="S5" s="46">
        <f>R5/E5</f>
        <v>1011.5</v>
      </c>
      <c r="T5" s="1"/>
      <c r="U5" s="1"/>
    </row>
    <row r="6" spans="2:21" x14ac:dyDescent="0.25">
      <c r="B6" s="56" t="s">
        <v>5</v>
      </c>
      <c r="C6" s="57"/>
      <c r="D6" s="58"/>
      <c r="E6" s="51">
        <f>SUM(E5:E5)</f>
        <v>9092</v>
      </c>
      <c r="F6" s="9"/>
      <c r="G6" s="59"/>
      <c r="H6" s="59"/>
      <c r="I6" s="59"/>
      <c r="J6" s="59"/>
      <c r="K6" s="59"/>
      <c r="L6" s="59"/>
      <c r="M6" s="59"/>
      <c r="N6" s="7">
        <f>SUM(N5:N5)</f>
        <v>15456400</v>
      </c>
      <c r="O6" s="7"/>
      <c r="P6" s="7">
        <f>SUM(P5:P5)</f>
        <v>9196558</v>
      </c>
      <c r="Q6" s="7"/>
      <c r="R6" s="7">
        <f>SUM((R5:R5))</f>
        <v>9196558</v>
      </c>
      <c r="S6" s="12"/>
    </row>
    <row r="7" spans="2:21" ht="33.75" customHeight="1" x14ac:dyDescent="0.25">
      <c r="B7" s="9">
        <v>2</v>
      </c>
      <c r="C7" s="9"/>
      <c r="D7" s="9"/>
      <c r="E7" s="51"/>
      <c r="F7" s="9"/>
      <c r="G7" s="9"/>
      <c r="H7" s="62" t="s">
        <v>51</v>
      </c>
      <c r="I7" s="63"/>
      <c r="J7" s="63"/>
      <c r="K7" s="63"/>
      <c r="L7" s="64"/>
      <c r="M7" s="49"/>
      <c r="N7" s="48"/>
      <c r="O7" s="48"/>
      <c r="P7" s="48"/>
      <c r="Q7" s="48"/>
      <c r="R7" s="48">
        <f>M14</f>
        <v>310000</v>
      </c>
      <c r="S7" s="12"/>
    </row>
    <row r="8" spans="2:21" x14ac:dyDescent="0.25">
      <c r="B8" s="9"/>
      <c r="C8" s="9"/>
      <c r="D8" s="9"/>
      <c r="E8" s="51"/>
      <c r="F8" s="9"/>
      <c r="G8" s="9"/>
      <c r="H8" s="9"/>
      <c r="I8" s="9"/>
      <c r="J8" s="9"/>
      <c r="K8" s="9"/>
      <c r="L8" s="9"/>
      <c r="M8" s="7" t="s">
        <v>48</v>
      </c>
      <c r="N8" s="49"/>
      <c r="O8" s="7"/>
      <c r="P8" s="7"/>
      <c r="Q8" s="7"/>
      <c r="R8" s="7">
        <f>R7+R6</f>
        <v>9506558</v>
      </c>
      <c r="S8" s="12"/>
    </row>
    <row r="9" spans="2:21" x14ac:dyDescent="0.25">
      <c r="B9" s="61" t="s">
        <v>15</v>
      </c>
      <c r="C9" s="61"/>
      <c r="D9" s="61"/>
      <c r="E9" s="61"/>
      <c r="F9" s="61"/>
      <c r="G9" s="61"/>
      <c r="H9" s="61"/>
      <c r="I9" s="61"/>
      <c r="J9" s="61"/>
      <c r="K9" s="61"/>
      <c r="L9" s="61"/>
      <c r="M9" s="61"/>
      <c r="N9" s="61"/>
      <c r="O9" s="61"/>
      <c r="P9" s="61"/>
      <c r="Q9" s="61"/>
      <c r="R9" s="61"/>
      <c r="S9" s="12"/>
    </row>
    <row r="10" spans="2:21" ht="33" customHeight="1" x14ac:dyDescent="0.25">
      <c r="B10" s="60" t="s">
        <v>46</v>
      </c>
      <c r="C10" s="60"/>
      <c r="D10" s="60"/>
      <c r="E10" s="60"/>
      <c r="F10" s="60"/>
      <c r="G10" s="60"/>
      <c r="H10" s="60"/>
      <c r="I10" s="60"/>
      <c r="J10" s="60"/>
      <c r="K10" s="60"/>
      <c r="L10" s="60"/>
      <c r="M10" s="60"/>
      <c r="N10" s="60"/>
      <c r="O10" s="60"/>
      <c r="P10" s="60"/>
      <c r="Q10" s="60"/>
      <c r="R10" s="60"/>
      <c r="S10" s="12"/>
    </row>
    <row r="11" spans="2:21" x14ac:dyDescent="0.25">
      <c r="B11" s="60" t="s">
        <v>52</v>
      </c>
      <c r="C11" s="52"/>
      <c r="D11" s="52"/>
      <c r="E11" s="52"/>
      <c r="F11" s="52"/>
      <c r="G11" s="52"/>
      <c r="H11" s="52"/>
      <c r="I11" s="52"/>
      <c r="J11" s="52"/>
      <c r="K11" s="52"/>
      <c r="L11" s="52"/>
      <c r="M11" s="52"/>
      <c r="N11" s="52"/>
      <c r="O11" s="52"/>
      <c r="P11" s="52"/>
      <c r="Q11" s="52"/>
      <c r="R11" s="52"/>
      <c r="S11" s="12"/>
    </row>
    <row r="12" spans="2:21" x14ac:dyDescent="0.25">
      <c r="B12" s="52" t="s">
        <v>47</v>
      </c>
      <c r="C12" s="52"/>
      <c r="D12" s="52"/>
      <c r="E12" s="52"/>
      <c r="F12" s="52"/>
      <c r="G12" s="52"/>
      <c r="H12" s="52"/>
      <c r="I12" s="52"/>
      <c r="J12" s="52"/>
      <c r="K12" s="52"/>
      <c r="L12" s="52"/>
      <c r="M12" s="52"/>
      <c r="N12" s="52"/>
      <c r="O12" s="52"/>
      <c r="P12" s="52"/>
      <c r="Q12" s="52"/>
      <c r="R12" s="52"/>
      <c r="S12" s="12"/>
    </row>
    <row r="13" spans="2:21" x14ac:dyDescent="0.25">
      <c r="S13" s="12"/>
      <c r="U13">
        <f>855*12000*0.97</f>
        <v>9952200</v>
      </c>
    </row>
    <row r="14" spans="2:21" x14ac:dyDescent="0.25">
      <c r="B14" s="19" t="s">
        <v>20</v>
      </c>
      <c r="C14" s="21"/>
      <c r="I14">
        <v>2000</v>
      </c>
      <c r="J14">
        <v>155</v>
      </c>
      <c r="K14">
        <f>J14*I14</f>
        <v>310000</v>
      </c>
      <c r="M14" s="47">
        <f>J14*I14</f>
        <v>310000</v>
      </c>
      <c r="S14" s="12"/>
    </row>
    <row r="15" spans="2:21" ht="15.75" x14ac:dyDescent="0.25">
      <c r="B15" s="19" t="s">
        <v>21</v>
      </c>
      <c r="C15" s="21">
        <f>85000*1156.56</f>
        <v>98307600</v>
      </c>
      <c r="P15" s="24" t="s">
        <v>23</v>
      </c>
      <c r="Q15" s="21">
        <f>C15</f>
        <v>98307600</v>
      </c>
      <c r="S15" s="12">
        <v>276</v>
      </c>
      <c r="T15">
        <v>9203</v>
      </c>
    </row>
    <row r="16" spans="2:21" ht="15.75" x14ac:dyDescent="0.25">
      <c r="B16" s="19" t="s">
        <v>22</v>
      </c>
      <c r="C16" s="21">
        <f>R8</f>
        <v>9506558</v>
      </c>
      <c r="M16" s="1">
        <f>1000*E5</f>
        <v>9092000</v>
      </c>
      <c r="N16" s="25"/>
      <c r="P16" s="24" t="s">
        <v>24</v>
      </c>
      <c r="Q16" s="21">
        <f>5583.61*20000</f>
        <v>111672200</v>
      </c>
      <c r="S16" s="12">
        <f>S15*0.85</f>
        <v>234.6</v>
      </c>
      <c r="T16">
        <f>T15/10.7639</f>
        <v>854.98750452902766</v>
      </c>
    </row>
    <row r="17" spans="2:21" ht="30" x14ac:dyDescent="0.25">
      <c r="B17" s="20" t="s">
        <v>18</v>
      </c>
      <c r="C17" s="22">
        <f>SUM(C14:C16)</f>
        <v>107814158</v>
      </c>
      <c r="S17" s="12">
        <f>S15*0.75</f>
        <v>207</v>
      </c>
      <c r="T17">
        <f>T16*12000</f>
        <v>10259850.054348333</v>
      </c>
    </row>
    <row r="18" spans="2:21" ht="35.25" customHeight="1" x14ac:dyDescent="0.25">
      <c r="B18" s="20" t="s">
        <v>19</v>
      </c>
      <c r="C18" s="22">
        <v>108000000</v>
      </c>
      <c r="D18" s="17">
        <v>250</v>
      </c>
      <c r="F18" s="17"/>
      <c r="G18" s="29"/>
      <c r="M18" s="25"/>
      <c r="O18" s="30"/>
      <c r="P18" s="17"/>
      <c r="Q18" s="17"/>
      <c r="R18" s="31"/>
      <c r="S18" s="28"/>
    </row>
    <row r="19" spans="2:21" x14ac:dyDescent="0.25">
      <c r="B19" s="19" t="s">
        <v>16</v>
      </c>
      <c r="C19" s="23">
        <f>0.85*C18</f>
        <v>91800000</v>
      </c>
      <c r="D19" s="17">
        <v>212</v>
      </c>
      <c r="E19" s="50">
        <f>C19</f>
        <v>91800000</v>
      </c>
      <c r="S19" s="12"/>
    </row>
    <row r="20" spans="2:21" x14ac:dyDescent="0.25">
      <c r="B20" s="19" t="s">
        <v>17</v>
      </c>
      <c r="C20" s="23">
        <f>0.75*C18</f>
        <v>81000000</v>
      </c>
      <c r="S20" s="12"/>
    </row>
    <row r="21" spans="2:21" x14ac:dyDescent="0.25">
      <c r="S21" s="12"/>
    </row>
    <row r="22" spans="2:21" ht="15" customHeight="1" x14ac:dyDescent="0.25">
      <c r="S22" s="12"/>
    </row>
    <row r="24" spans="2:21" x14ac:dyDescent="0.25">
      <c r="C24" s="36"/>
      <c r="D24" s="37"/>
      <c r="S24" s="8"/>
      <c r="T24" s="4"/>
      <c r="U24" s="4"/>
    </row>
    <row r="25" spans="2:21" x14ac:dyDescent="0.25">
      <c r="C25" s="34"/>
      <c r="D25"/>
      <c r="F25" s="33"/>
      <c r="N25" s="32"/>
    </row>
    <row r="26" spans="2:21" x14ac:dyDescent="0.25">
      <c r="C26" s="34"/>
      <c r="D26"/>
      <c r="H26" s="1"/>
      <c r="I26" s="32">
        <f>H26/10.7642</f>
        <v>0</v>
      </c>
      <c r="J26">
        <f>3147/450*10.764</f>
        <v>75.276239999999987</v>
      </c>
      <c r="R26" s="18">
        <f>E6/(9*1156.56)</f>
        <v>0.87347152090874858</v>
      </c>
    </row>
    <row r="27" spans="2:21" x14ac:dyDescent="0.25">
      <c r="C27" s="34"/>
      <c r="D27"/>
      <c r="R27" s="18">
        <f>4606/(9*1156.56)</f>
        <v>0.44249998078593228</v>
      </c>
    </row>
    <row r="28" spans="2:21" x14ac:dyDescent="0.25">
      <c r="C28" s="34"/>
      <c r="D28" s="33"/>
    </row>
    <row r="29" spans="2:21" x14ac:dyDescent="0.25">
      <c r="C29" s="34"/>
      <c r="D29" s="33"/>
    </row>
    <row r="30" spans="2:21" ht="15" customHeight="1" x14ac:dyDescent="0.25">
      <c r="C30" s="35"/>
      <c r="D30" s="33"/>
    </row>
    <row r="31" spans="2:21" x14ac:dyDescent="0.25">
      <c r="D31" s="33"/>
    </row>
  </sheetData>
  <mergeCells count="8">
    <mergeCell ref="B12:R12"/>
    <mergeCell ref="B3:R3"/>
    <mergeCell ref="B6:D6"/>
    <mergeCell ref="G6:M6"/>
    <mergeCell ref="B10:R10"/>
    <mergeCell ref="B11:R11"/>
    <mergeCell ref="B9:R9"/>
    <mergeCell ref="H7:L7"/>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5:S30"/>
  <sheetViews>
    <sheetView topLeftCell="A4" zoomScaleNormal="100" workbookViewId="0">
      <selection activeCell="J20" sqref="J20"/>
    </sheetView>
  </sheetViews>
  <sheetFormatPr defaultRowHeight="15" x14ac:dyDescent="0.25"/>
  <cols>
    <col min="4" max="4" width="26.7109375" bestFit="1" customWidth="1"/>
    <col min="5" max="5" width="5.5703125" bestFit="1" customWidth="1"/>
    <col min="6" max="6" width="10.5703125" bestFit="1" customWidth="1"/>
    <col min="7" max="7" width="10.42578125" bestFit="1" customWidth="1"/>
    <col min="8" max="8" width="7.42578125" bestFit="1" customWidth="1"/>
    <col min="9" max="9" width="10" bestFit="1" customWidth="1"/>
    <col min="10" max="10" width="14.28515625" bestFit="1" customWidth="1"/>
    <col min="11" max="11" width="32.28515625" customWidth="1"/>
  </cols>
  <sheetData>
    <row r="5" spans="5:11" ht="15.75" thickBot="1" x14ac:dyDescent="0.3"/>
    <row r="6" spans="5:11" ht="31.5" customHeight="1" thickBot="1" x14ac:dyDescent="0.3">
      <c r="E6" s="72" t="s">
        <v>28</v>
      </c>
      <c r="F6" s="73"/>
      <c r="G6" s="73"/>
      <c r="H6" s="73"/>
      <c r="I6" s="73"/>
      <c r="J6" s="73"/>
      <c r="K6" s="74"/>
    </row>
    <row r="7" spans="5:11" ht="39" thickBot="1" x14ac:dyDescent="0.3">
      <c r="E7" s="43" t="s">
        <v>35</v>
      </c>
      <c r="F7" s="44" t="s">
        <v>36</v>
      </c>
      <c r="G7" s="44" t="s">
        <v>29</v>
      </c>
      <c r="H7" s="44" t="s">
        <v>30</v>
      </c>
      <c r="I7" s="44" t="s">
        <v>31</v>
      </c>
      <c r="J7" s="44" t="s">
        <v>32</v>
      </c>
      <c r="K7" s="45" t="s">
        <v>37</v>
      </c>
    </row>
    <row r="8" spans="5:11" x14ac:dyDescent="0.25">
      <c r="E8" s="66">
        <v>1</v>
      </c>
      <c r="F8" s="77">
        <v>40690</v>
      </c>
      <c r="G8" s="75" t="s">
        <v>33</v>
      </c>
      <c r="H8" s="75" t="s">
        <v>34</v>
      </c>
      <c r="I8" s="75">
        <v>426.57</v>
      </c>
      <c r="J8" s="75">
        <v>510</v>
      </c>
      <c r="K8" s="38" t="s">
        <v>42</v>
      </c>
    </row>
    <row r="9" spans="5:11" x14ac:dyDescent="0.25">
      <c r="E9" s="67"/>
      <c r="F9" s="78"/>
      <c r="G9" s="65"/>
      <c r="H9" s="65"/>
      <c r="I9" s="65"/>
      <c r="J9" s="65"/>
      <c r="K9" s="39" t="s">
        <v>44</v>
      </c>
    </row>
    <row r="10" spans="5:11" x14ac:dyDescent="0.25">
      <c r="E10" s="67"/>
      <c r="F10" s="78"/>
      <c r="G10" s="65"/>
      <c r="H10" s="65"/>
      <c r="I10" s="65"/>
      <c r="J10" s="65"/>
      <c r="K10" s="39" t="s">
        <v>43</v>
      </c>
    </row>
    <row r="11" spans="5:11" ht="15.75" thickBot="1" x14ac:dyDescent="0.3">
      <c r="E11" s="68"/>
      <c r="F11" s="79"/>
      <c r="G11" s="76"/>
      <c r="H11" s="76"/>
      <c r="I11" s="76"/>
      <c r="J11" s="76"/>
      <c r="K11" s="40" t="s">
        <v>45</v>
      </c>
    </row>
    <row r="12" spans="5:11" x14ac:dyDescent="0.25">
      <c r="E12" s="66">
        <v>2</v>
      </c>
      <c r="F12" s="77">
        <v>42374</v>
      </c>
      <c r="G12" s="75" t="s">
        <v>33</v>
      </c>
      <c r="H12" s="75" t="s">
        <v>34</v>
      </c>
      <c r="I12" s="75">
        <v>144.68</v>
      </c>
      <c r="J12" s="75">
        <v>173</v>
      </c>
      <c r="K12" s="38" t="s">
        <v>38</v>
      </c>
    </row>
    <row r="13" spans="5:11" x14ac:dyDescent="0.25">
      <c r="E13" s="67"/>
      <c r="F13" s="78"/>
      <c r="G13" s="65"/>
      <c r="H13" s="65"/>
      <c r="I13" s="65"/>
      <c r="J13" s="65"/>
      <c r="K13" s="39" t="s">
        <v>39</v>
      </c>
    </row>
    <row r="14" spans="5:11" x14ac:dyDescent="0.25">
      <c r="E14" s="67"/>
      <c r="F14" s="78"/>
      <c r="G14" s="65"/>
      <c r="H14" s="65"/>
      <c r="I14" s="65"/>
      <c r="J14" s="65"/>
      <c r="K14" s="39" t="s">
        <v>40</v>
      </c>
    </row>
    <row r="15" spans="5:11" ht="15.75" thickBot="1" x14ac:dyDescent="0.3">
      <c r="E15" s="68"/>
      <c r="F15" s="79"/>
      <c r="G15" s="76"/>
      <c r="H15" s="76"/>
      <c r="I15" s="76"/>
      <c r="J15" s="76"/>
      <c r="K15" s="40" t="s">
        <v>41</v>
      </c>
    </row>
    <row r="16" spans="5:11" ht="16.5" thickBot="1" x14ac:dyDescent="0.3">
      <c r="E16" s="69" t="s">
        <v>5</v>
      </c>
      <c r="F16" s="70"/>
      <c r="G16" s="70"/>
      <c r="H16" s="71"/>
      <c r="I16" s="41">
        <v>571.25</v>
      </c>
      <c r="J16" s="41">
        <v>683.2</v>
      </c>
      <c r="K16" s="42"/>
    </row>
    <row r="18" spans="7:19" x14ac:dyDescent="0.25">
      <c r="J18" s="47">
        <v>25000</v>
      </c>
      <c r="K18" s="47">
        <f>J18*J16</f>
        <v>17080000</v>
      </c>
    </row>
    <row r="19" spans="7:19" x14ac:dyDescent="0.25">
      <c r="I19" s="1">
        <f>J18*0.95</f>
        <v>23750</v>
      </c>
      <c r="J19" s="47">
        <v>24000</v>
      </c>
    </row>
    <row r="20" spans="7:19" x14ac:dyDescent="0.25">
      <c r="G20" s="65"/>
      <c r="J20" s="47">
        <f>J19*J16</f>
        <v>16396800.000000002</v>
      </c>
    </row>
    <row r="21" spans="7:19" x14ac:dyDescent="0.25">
      <c r="G21" s="65"/>
    </row>
    <row r="22" spans="7:19" x14ac:dyDescent="0.25">
      <c r="G22" s="65"/>
    </row>
    <row r="23" spans="7:19" x14ac:dyDescent="0.25">
      <c r="G23" s="65"/>
    </row>
    <row r="26" spans="7:19" x14ac:dyDescent="0.25">
      <c r="J26" s="47">
        <f>J20</f>
        <v>16396800.000000002</v>
      </c>
    </row>
    <row r="27" spans="7:19" x14ac:dyDescent="0.25">
      <c r="J27" s="47">
        <f>Building!R5</f>
        <v>9196558</v>
      </c>
    </row>
    <row r="28" spans="7:19" x14ac:dyDescent="0.25">
      <c r="J28" s="47">
        <f>SUM(J26:J27)</f>
        <v>25593358</v>
      </c>
    </row>
    <row r="29" spans="7:19" x14ac:dyDescent="0.25">
      <c r="J29" s="32">
        <f>J28*0.85</f>
        <v>21754354.300000001</v>
      </c>
    </row>
    <row r="30" spans="7:19" x14ac:dyDescent="0.25"/>
  </sheetData>
  <mergeCells count="15">
    <mergeCell ref="G20:G23"/>
    <mergeCell ref="E8:E11"/>
    <mergeCell ref="E12:E15"/>
    <mergeCell ref="E16:H16"/>
    <mergeCell ref="E6:K6"/>
    <mergeCell ref="J8:J11"/>
    <mergeCell ref="I8:I11"/>
    <mergeCell ref="H8:H11"/>
    <mergeCell ref="G8:G11"/>
    <mergeCell ref="F8:F11"/>
    <mergeCell ref="G12:G15"/>
    <mergeCell ref="H12:H15"/>
    <mergeCell ref="I12:I15"/>
    <mergeCell ref="J12:J15"/>
    <mergeCell ref="F12:F1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vt:lpstr>
      <vt:lpstr>Land</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2022-10-12T09:44:58Z</dcterms:modified>
</cp:coreProperties>
</file>