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In Progress Files\Rahul Gupta\In progress\VIS(2022-23)-PL332-258-481\"/>
    </mc:Choice>
  </mc:AlternateContent>
  <bookViews>
    <workbookView xWindow="0" yWindow="0" windowWidth="15330" windowHeight="7680"/>
  </bookViews>
  <sheets>
    <sheet name="working of building" sheetId="1" r:id="rId1"/>
    <sheet name="Boundary wall" sheetId="4" r:id="rId2"/>
    <sheet name="summary" sheetId="5"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31" i="4" l="1"/>
  <c r="K31" i="4"/>
  <c r="S30" i="4"/>
  <c r="S29" i="4"/>
  <c r="U24" i="4"/>
  <c r="T24" i="4"/>
  <c r="R26" i="4"/>
  <c r="Q26" i="4"/>
  <c r="M26" i="4"/>
  <c r="N26" i="4"/>
  <c r="H25" i="4"/>
  <c r="D27" i="4"/>
  <c r="C26" i="4"/>
  <c r="D23" i="4"/>
  <c r="C22" i="4"/>
  <c r="C21" i="4"/>
  <c r="C18" i="4"/>
  <c r="T12" i="4"/>
  <c r="R12" i="4"/>
  <c r="S16" i="4"/>
  <c r="R16" i="4"/>
  <c r="S20" i="4"/>
  <c r="Q20" i="4"/>
  <c r="M21" i="4"/>
  <c r="K21" i="4"/>
  <c r="M17" i="4"/>
  <c r="O17" i="4" s="1"/>
  <c r="O18" i="4" s="1"/>
  <c r="P10" i="4"/>
  <c r="N13" i="4"/>
  <c r="N12" i="4"/>
  <c r="N11" i="4"/>
  <c r="M11" i="4"/>
  <c r="M6" i="4"/>
  <c r="D14" i="4"/>
  <c r="K8" i="1"/>
  <c r="N8" i="1"/>
  <c r="H12" i="4" l="1"/>
  <c r="I9" i="4"/>
  <c r="H9" i="4"/>
  <c r="AC12" i="1"/>
  <c r="Z17" i="1"/>
  <c r="F9" i="1"/>
  <c r="E9" i="1"/>
  <c r="F5" i="1"/>
  <c r="P5" i="1" s="1"/>
  <c r="F6" i="1"/>
  <c r="P6" i="1" s="1"/>
  <c r="F7" i="1"/>
  <c r="P7" i="1" s="1"/>
  <c r="F8" i="1"/>
  <c r="P8" i="1" s="1"/>
  <c r="Q8" i="1" s="1"/>
  <c r="F4" i="1"/>
  <c r="P4" i="1" s="1"/>
  <c r="H9" i="1"/>
  <c r="AB9" i="1"/>
  <c r="AC9" i="1" s="1"/>
  <c r="G7" i="1"/>
  <c r="G6" i="1"/>
  <c r="G5" i="1"/>
  <c r="G4" i="1"/>
  <c r="K5" i="1"/>
  <c r="N5" i="1"/>
  <c r="Q5" i="1" l="1"/>
  <c r="R5" i="1" s="1"/>
  <c r="T5" i="1" s="1"/>
  <c r="R8" i="1"/>
  <c r="T8" i="1" s="1"/>
  <c r="G9" i="1"/>
  <c r="N12" i="5"/>
  <c r="J18" i="5" l="1"/>
  <c r="L8" i="5" l="1"/>
  <c r="H11" i="5"/>
  <c r="H10" i="5"/>
  <c r="H6" i="5"/>
  <c r="F8" i="5"/>
  <c r="I3" i="4" l="1"/>
  <c r="G3" i="4"/>
  <c r="D3" i="4"/>
  <c r="J3" i="4" l="1"/>
  <c r="K3" i="4" s="1"/>
  <c r="M3" i="4" s="1"/>
  <c r="Y11" i="1" l="1"/>
  <c r="Y12" i="1" s="1"/>
  <c r="V13" i="1" l="1"/>
  <c r="R18" i="1" l="1"/>
  <c r="O26" i="1" l="1"/>
  <c r="O27" i="1" s="1"/>
  <c r="H23" i="1"/>
  <c r="M24" i="1"/>
  <c r="O21" i="1"/>
  <c r="O22" i="1" s="1"/>
  <c r="I21" i="1" l="1"/>
  <c r="I22" i="1" s="1"/>
  <c r="K21" i="1"/>
  <c r="K22" i="1" s="1"/>
  <c r="I19" i="1"/>
  <c r="M19" i="1"/>
  <c r="I23" i="1" l="1"/>
  <c r="N4" i="1"/>
  <c r="N6" i="1"/>
  <c r="N7" i="1"/>
  <c r="P9" i="1" l="1"/>
  <c r="K6" i="1"/>
  <c r="Q6" i="1" s="1"/>
  <c r="R6" i="1" s="1"/>
  <c r="K7" i="1"/>
  <c r="Q7" i="1" s="1"/>
  <c r="R7" i="1" s="1"/>
  <c r="T7" i="1" s="1"/>
  <c r="K4" i="1"/>
  <c r="Q4" i="1" s="1"/>
  <c r="R4" i="1" s="1"/>
  <c r="R9" i="1" l="1"/>
  <c r="Q9" i="1"/>
  <c r="T6" i="1"/>
  <c r="T4" i="1"/>
  <c r="T9" i="1" l="1"/>
</calcChain>
</file>

<file path=xl/sharedStrings.xml><?xml version="1.0" encoding="utf-8"?>
<sst xmlns="http://schemas.openxmlformats.org/spreadsheetml/2006/main" count="62" uniqueCount="47">
  <si>
    <t>SR. No.</t>
  </si>
  <si>
    <t>Floor</t>
  </si>
  <si>
    <t>Particular</t>
  </si>
  <si>
    <t>Type of Structure</t>
  </si>
  <si>
    <t xml:space="preserve">Year of Valuation </t>
  </si>
  <si>
    <t>Total Life Consumed 
(In year)</t>
  </si>
  <si>
    <t>Total Economical Life
(In year)</t>
  </si>
  <si>
    <t>Salvage value</t>
  </si>
  <si>
    <t>Depreciation Rate</t>
  </si>
  <si>
    <t>Plinth Area  Rate 
(In per sq ft)</t>
  </si>
  <si>
    <t>Gross Replacement Value
(INR)</t>
  </si>
  <si>
    <t xml:space="preserve">Depreciation
(INR) </t>
  </si>
  <si>
    <t>Depreciated Value
(INR)</t>
  </si>
  <si>
    <t>Depreciated Replacement Market Value
(INR)</t>
  </si>
  <si>
    <t>Building</t>
  </si>
  <si>
    <t>RCC framed structure</t>
  </si>
  <si>
    <t>First Floor</t>
  </si>
  <si>
    <t>TOTAL</t>
  </si>
  <si>
    <t>Remarks:</t>
  </si>
  <si>
    <t>3. The valuation is done by considering the depreciated replacement cost approach.</t>
  </si>
  <si>
    <t>Detoriation</t>
  </si>
  <si>
    <t xml:space="preserve"> Constructed Covered area  in sq.mtr (As per survey)</t>
  </si>
  <si>
    <t xml:space="preserve"> Constructed Covered area  in sq.ft (As per survey)</t>
  </si>
  <si>
    <t>1. All the details pertaing to the building area statement such as area, floor, etc has been taken from the approved building plan shared by  the bank and site survey.</t>
  </si>
  <si>
    <t>Boundary wall valuation</t>
  </si>
  <si>
    <t>Year of Construction</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</si>
  <si>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</si>
  <si>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</si>
  <si>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running ft.)</t>
    </r>
  </si>
  <si>
    <t>Discounting Factor</t>
  </si>
  <si>
    <r>
      <t xml:space="preserve">Wall
</t>
    </r>
    <r>
      <rPr>
        <b/>
        <i/>
        <sz val="10"/>
        <rFont val="Calibri"/>
        <family val="2"/>
        <scheme val="minor"/>
      </rPr>
      <t>(in Running ft.)As per approved plan approx.</t>
    </r>
  </si>
  <si>
    <t>land</t>
  </si>
  <si>
    <t>building</t>
  </si>
  <si>
    <t>boundary wall</t>
  </si>
  <si>
    <t>Ground Floor</t>
  </si>
  <si>
    <t>Year of Construction (as per information provided)</t>
  </si>
  <si>
    <t>M/S SHAMIK EXPORTS PRIVATE LIMITED, LOCATED AT:- VILLA NO. 06, POCKET-B IN ANANT RAJ ESATE, SECTOR 63A, TEHSIL WAZIRABAD, GURUGRAM, HARYANA</t>
  </si>
  <si>
    <t xml:space="preserve">Basment </t>
  </si>
  <si>
    <t xml:space="preserve">Second Floor </t>
  </si>
  <si>
    <t>Total plot area</t>
  </si>
  <si>
    <t>sq.yds</t>
  </si>
  <si>
    <t>Mumty</t>
  </si>
  <si>
    <t>Permissible Area in sq.mtr as Occupancy Certificate</t>
  </si>
  <si>
    <t>Permissible Area in sq.ft as Occupancy Certificate</t>
  </si>
  <si>
    <t>4. We have considered the permissible area according to approved building plan dated 01/05/2006.</t>
  </si>
  <si>
    <t>5. During the time of our site visit major renovation and finishing work is going on.But asper the site engineer during the survey the developer completed the superstructure of the building in the year of 2016.The owner received the occupancy certificate dated 06/05/2022.However, we have considered the age of the  building is zero for valuation purpose.</t>
  </si>
  <si>
    <t>2. The subject property is constructed with RCC technology.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</si>
</sst>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_ * #,##0.0_ ;_ * \-#,##0.0_ ;_ * &quot;-&quot;??_ ;_ @_ "/>
    <numFmt numFmtId="165" formatCode="0.0000"/>
    <numFmt numFmtId="166" formatCode="_ &quot;₹&quot;\ * #,##0_ ;_ &quot;₹&quot;\ * \-#,##0_ ;_ &quot;₹&quot;\ * &quot;-&quot;??_ ;_ @_ "/>
  </numFmts>
  <fonts count="10"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1"/>
      <color theme="1"/>
      <name val="Arial"/>
      <family val="2"/>
    </font>
    <font>
      <b/>
      <sz val="12"/>
      <color theme="0"/>
      <name val="Calibri"/>
      <family val="2"/>
      <scheme val="minor"/>
    </font>
    <font>
      <b/>
      <sz val="11"/>
      <name val="Calibri"/>
      <family val="2"/>
      <scheme val="minor"/>
    </font>
    <font>
      <b/>
      <i/>
      <sz val="10"/>
      <name val="Calibri"/>
      <family val="2"/>
      <scheme val="minor"/>
    </font>
  </fonts>
  <fills count="5">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47">
    <xf numFmtId="0" fontId="0" fillId="0" borderId="0" xfId="0"/>
    <xf numFmtId="164" fontId="0" fillId="0" borderId="0" xfId="1" applyNumberFormat="1" applyFont="1"/>
    <xf numFmtId="43" fontId="0" fillId="0" borderId="0" xfId="0" applyNumberFormat="1"/>
    <xf numFmtId="0" fontId="0" fillId="0" borderId="0" xfId="0"/>
    <xf numFmtId="0" fontId="0" fillId="0" borderId="1" xfId="0" applyBorder="1" applyAlignment="1">
      <alignment horizontal="center" vertical="center" wrapText="1"/>
    </xf>
    <xf numFmtId="0" fontId="2" fillId="2" borderId="1" xfId="3" applyFont="1" applyBorder="1" applyAlignment="1">
      <alignment horizontal="center" vertical="center" wrapText="1"/>
    </xf>
    <xf numFmtId="9" fontId="2" fillId="2" borderId="1" xfId="3" applyNumberFormat="1" applyFont="1" applyBorder="1" applyAlignment="1">
      <alignment horizontal="center" vertical="center" wrapText="1"/>
    </xf>
    <xf numFmtId="0" fontId="0" fillId="0" borderId="1" xfId="0" applyFill="1" applyBorder="1" applyAlignment="1">
      <alignment horizontal="center" vertical="center" wrapText="1"/>
    </xf>
    <xf numFmtId="9"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166" fontId="0" fillId="0" borderId="1" xfId="4" applyNumberFormat="1" applyFont="1" applyBorder="1" applyAlignment="1">
      <alignment horizontal="center" vertical="center" wrapText="1"/>
    </xf>
    <xf numFmtId="9" fontId="0" fillId="0" borderId="1" xfId="2" applyFont="1" applyBorder="1" applyAlignment="1">
      <alignment horizontal="center" vertical="center" wrapText="1"/>
    </xf>
    <xf numFmtId="166" fontId="2" fillId="0" borderId="1" xfId="4" applyNumberFormat="1" applyFont="1" applyBorder="1" applyAlignment="1">
      <alignment horizontal="center" vertical="center" wrapText="1"/>
    </xf>
    <xf numFmtId="9" fontId="2" fillId="0" borderId="1" xfId="2" applyFont="1" applyBorder="1" applyAlignment="1">
      <alignment horizontal="center" vertical="center" wrapText="1"/>
    </xf>
    <xf numFmtId="43" fontId="0" fillId="0" borderId="0" xfId="1" applyNumberFormat="1" applyFont="1"/>
    <xf numFmtId="44" fontId="0" fillId="0" borderId="0" xfId="0" applyNumberFormat="1"/>
    <xf numFmtId="2" fontId="0" fillId="0" borderId="0" xfId="0" applyNumberFormat="1"/>
    <xf numFmtId="0" fontId="6" fillId="0" borderId="0" xfId="0" applyFont="1" applyAlignment="1">
      <alignment horizontal="justify" vertical="center"/>
    </xf>
    <xf numFmtId="0" fontId="8" fillId="4" borderId="1" xfId="0" applyFont="1" applyFill="1" applyBorder="1" applyAlignment="1">
      <alignment horizontal="center" vertical="center" wrapText="1"/>
    </xf>
    <xf numFmtId="1" fontId="0" fillId="0" borderId="1" xfId="0" applyNumberFormat="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165" fontId="0" fillId="0" borderId="1" xfId="0" applyNumberFormat="1" applyBorder="1" applyAlignment="1">
      <alignment horizontal="center" vertical="center"/>
    </xf>
    <xf numFmtId="166" fontId="0" fillId="0" borderId="1" xfId="5" applyNumberFormat="1" applyFont="1" applyBorder="1" applyAlignment="1">
      <alignment horizontal="center" vertical="center"/>
    </xf>
    <xf numFmtId="9" fontId="0" fillId="0" borderId="1" xfId="2" applyFont="1" applyBorder="1" applyAlignment="1">
      <alignment horizontal="center" vertical="center"/>
    </xf>
    <xf numFmtId="166" fontId="0" fillId="0" borderId="0" xfId="0" applyNumberFormat="1"/>
    <xf numFmtId="2" fontId="0" fillId="0" borderId="1" xfId="0" applyNumberFormat="1" applyBorder="1" applyAlignment="1">
      <alignment horizontal="center" vertical="center"/>
    </xf>
    <xf numFmtId="2" fontId="2" fillId="0" borderId="1" xfId="0" applyNumberFormat="1" applyFont="1" applyBorder="1" applyAlignment="1">
      <alignment horizontal="right" vertical="center" wrapText="1"/>
    </xf>
    <xf numFmtId="0" fontId="2" fillId="0" borderId="1" xfId="0" applyFont="1" applyBorder="1" applyAlignment="1">
      <alignment horizontal="center" vertical="center" wrapText="1"/>
    </xf>
    <xf numFmtId="44" fontId="1" fillId="0" borderId="1" xfId="4" applyNumberFormat="1" applyFont="1" applyBorder="1" applyAlignment="1">
      <alignment horizontal="center" vertical="center" wrapText="1"/>
    </xf>
    <xf numFmtId="0" fontId="0" fillId="0" borderId="0" xfId="0" applyAlignment="1">
      <alignment horizontal="left"/>
    </xf>
    <xf numFmtId="0" fontId="0" fillId="0" borderId="1" xfId="0" applyBorder="1" applyAlignment="1">
      <alignment horizontal="left" vertical="center" wrapText="1"/>
    </xf>
    <xf numFmtId="0" fontId="5" fillId="3" borderId="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2"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3" fillId="0" borderId="1" xfId="0" applyFont="1" applyBorder="1" applyAlignment="1">
      <alignment horizontal="left" vertical="center"/>
    </xf>
    <xf numFmtId="0" fontId="4" fillId="0" borderId="1" xfId="0" applyFont="1" applyFill="1" applyBorder="1" applyAlignment="1">
      <alignment horizontal="left" vertical="center"/>
    </xf>
    <xf numFmtId="0" fontId="7" fillId="3" borderId="9" xfId="0" applyFont="1" applyFill="1" applyBorder="1" applyAlignment="1">
      <alignment horizontal="center" vertical="center" wrapText="1"/>
    </xf>
  </cellXfs>
  <cellStyles count="6">
    <cellStyle name="40% - Accent1" xfId="3" builtinId="31"/>
    <cellStyle name="Comma" xfId="1" builtinId="3"/>
    <cellStyle name="Currency" xfId="5" builtinId="4"/>
    <cellStyle name="Currency 2" xf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showGridLines="0" tabSelected="1" workbookViewId="0">
      <selection sqref="A1:T9"/>
    </sheetView>
  </sheetViews>
  <sheetFormatPr defaultRowHeight="15" x14ac:dyDescent="0.25"/>
  <cols>
    <col min="1" max="1" width="4.140625" customWidth="1"/>
    <col min="2" max="2" width="12.42578125" customWidth="1"/>
    <col min="3" max="3" width="9.42578125" bestFit="1" customWidth="1"/>
    <col min="4" max="4" width="20" bestFit="1" customWidth="1"/>
    <col min="5" max="5" width="19.140625" style="3" customWidth="1"/>
    <col min="6" max="6" width="18.85546875" style="3" customWidth="1"/>
    <col min="7" max="7" width="15.42578125" style="3" hidden="1" customWidth="1"/>
    <col min="8" max="8" width="15.42578125" hidden="1" customWidth="1"/>
    <col min="9" max="9" width="12.28515625" hidden="1" customWidth="1"/>
    <col min="10" max="10" width="9.5703125" hidden="1" customWidth="1"/>
    <col min="11" max="12" width="10.42578125" hidden="1" customWidth="1"/>
    <col min="13" max="13" width="7.7109375" hidden="1" customWidth="1"/>
    <col min="14" max="14" width="12.42578125" hidden="1" customWidth="1"/>
    <col min="15" max="15" width="11.85546875" hidden="1" customWidth="1"/>
    <col min="16" max="16" width="14.28515625" hidden="1" customWidth="1"/>
    <col min="17" max="17" width="12.42578125" hidden="1" customWidth="1"/>
    <col min="18" max="18" width="13.28515625" hidden="1" customWidth="1"/>
    <col min="19" max="19" width="11.140625" hidden="1" customWidth="1"/>
    <col min="20" max="20" width="13.140625" hidden="1" customWidth="1"/>
    <col min="21" max="21" width="9" bestFit="1" customWidth="1"/>
    <col min="22" max="22" width="8" bestFit="1" customWidth="1"/>
    <col min="25" max="25" width="9" bestFit="1" customWidth="1"/>
    <col min="28" max="28" width="8" bestFit="1" customWidth="1"/>
    <col min="29" max="29" width="12" bestFit="1" customWidth="1"/>
  </cols>
  <sheetData>
    <row r="1" spans="1:29" s="3" customFormat="1" ht="21.95" customHeight="1" x14ac:dyDescent="0.25">
      <c r="A1" s="32" t="s">
        <v>36</v>
      </c>
      <c r="B1" s="32"/>
      <c r="C1" s="32"/>
      <c r="D1" s="32"/>
      <c r="E1" s="32"/>
      <c r="F1" s="32"/>
      <c r="G1" s="32"/>
      <c r="H1" s="32"/>
      <c r="I1" s="32"/>
      <c r="J1" s="32"/>
      <c r="K1" s="32"/>
      <c r="L1" s="32"/>
      <c r="M1" s="32"/>
      <c r="N1" s="32"/>
      <c r="O1" s="32"/>
      <c r="P1" s="32"/>
      <c r="Q1" s="32"/>
      <c r="R1" s="32"/>
      <c r="S1" s="32"/>
      <c r="T1" s="32"/>
    </row>
    <row r="2" spans="1:29" ht="9.75" customHeight="1" x14ac:dyDescent="0.25">
      <c r="A2" s="32"/>
      <c r="B2" s="32"/>
      <c r="C2" s="32"/>
      <c r="D2" s="32"/>
      <c r="E2" s="32"/>
      <c r="F2" s="32"/>
      <c r="G2" s="32"/>
      <c r="H2" s="32"/>
      <c r="I2" s="32"/>
      <c r="J2" s="32"/>
      <c r="K2" s="32"/>
      <c r="L2" s="32"/>
      <c r="M2" s="32"/>
      <c r="N2" s="32"/>
      <c r="O2" s="32"/>
      <c r="P2" s="32"/>
      <c r="Q2" s="32"/>
      <c r="R2" s="32"/>
      <c r="S2" s="32"/>
      <c r="T2" s="32"/>
    </row>
    <row r="3" spans="1:29" ht="75" x14ac:dyDescent="0.25">
      <c r="A3" s="5" t="s">
        <v>0</v>
      </c>
      <c r="B3" s="5" t="s">
        <v>1</v>
      </c>
      <c r="C3" s="5" t="s">
        <v>2</v>
      </c>
      <c r="D3" s="5" t="s">
        <v>3</v>
      </c>
      <c r="E3" s="5" t="s">
        <v>42</v>
      </c>
      <c r="F3" s="5" t="s">
        <v>43</v>
      </c>
      <c r="G3" s="5" t="s">
        <v>21</v>
      </c>
      <c r="H3" s="5" t="s">
        <v>22</v>
      </c>
      <c r="I3" s="5" t="s">
        <v>35</v>
      </c>
      <c r="J3" s="5" t="s">
        <v>4</v>
      </c>
      <c r="K3" s="5" t="s">
        <v>5</v>
      </c>
      <c r="L3" s="5" t="s">
        <v>6</v>
      </c>
      <c r="M3" s="5" t="s">
        <v>7</v>
      </c>
      <c r="N3" s="5" t="s">
        <v>8</v>
      </c>
      <c r="O3" s="5" t="s">
        <v>9</v>
      </c>
      <c r="P3" s="5" t="s">
        <v>10</v>
      </c>
      <c r="Q3" s="5" t="s">
        <v>11</v>
      </c>
      <c r="R3" s="5" t="s">
        <v>12</v>
      </c>
      <c r="S3" s="6" t="s">
        <v>20</v>
      </c>
      <c r="T3" s="5" t="s">
        <v>13</v>
      </c>
    </row>
    <row r="4" spans="1:29" x14ac:dyDescent="0.25">
      <c r="A4" s="7">
        <v>1</v>
      </c>
      <c r="B4" s="30" t="s">
        <v>37</v>
      </c>
      <c r="C4" s="4" t="s">
        <v>14</v>
      </c>
      <c r="D4" s="4" t="s">
        <v>15</v>
      </c>
      <c r="E4" s="4">
        <v>182.44300000000001</v>
      </c>
      <c r="F4" s="4">
        <f>E4*10.764</f>
        <v>1963.816452</v>
      </c>
      <c r="G4" s="26">
        <f>H4/10.764</f>
        <v>206.24303232998886</v>
      </c>
      <c r="H4" s="26">
        <v>2220</v>
      </c>
      <c r="I4" s="4">
        <v>2022</v>
      </c>
      <c r="J4" s="4">
        <v>2022</v>
      </c>
      <c r="K4" s="4">
        <f>J4-I4</f>
        <v>0</v>
      </c>
      <c r="L4" s="4">
        <v>60</v>
      </c>
      <c r="M4" s="8">
        <v>0.05</v>
      </c>
      <c r="N4" s="9">
        <f>(1-M4)/L4</f>
        <v>1.5833333333333331E-2</v>
      </c>
      <c r="O4" s="10">
        <v>1600</v>
      </c>
      <c r="P4" s="29">
        <f>O4*F4</f>
        <v>3142106.3232</v>
      </c>
      <c r="Q4" s="10">
        <f>P4*N4*K4</f>
        <v>0</v>
      </c>
      <c r="R4" s="10">
        <f>MAX(P4-Q4,0)</f>
        <v>3142106.3232</v>
      </c>
      <c r="S4" s="11">
        <v>0</v>
      </c>
      <c r="T4" s="10">
        <f>IF(R4&gt;M4*P4,R4*(1-S4),P4*M4)</f>
        <v>3142106.3232</v>
      </c>
      <c r="U4" s="15"/>
      <c r="Y4">
        <v>2.29</v>
      </c>
      <c r="AB4">
        <v>182.44300000000001</v>
      </c>
    </row>
    <row r="5" spans="1:29" s="3" customFormat="1" ht="30" x14ac:dyDescent="0.25">
      <c r="A5" s="7">
        <v>2</v>
      </c>
      <c r="B5" s="31" t="s">
        <v>34</v>
      </c>
      <c r="C5" s="4" t="s">
        <v>14</v>
      </c>
      <c r="D5" s="4" t="s">
        <v>15</v>
      </c>
      <c r="E5" s="4">
        <v>205.124</v>
      </c>
      <c r="F5" s="4">
        <f t="shared" ref="F5:F8" si="0">E5*10.764</f>
        <v>2207.9547359999997</v>
      </c>
      <c r="G5" s="26">
        <f>H5/10.764</f>
        <v>195.09476031215164</v>
      </c>
      <c r="H5" s="26">
        <v>2100</v>
      </c>
      <c r="I5" s="4">
        <v>2022</v>
      </c>
      <c r="J5" s="4">
        <v>2022</v>
      </c>
      <c r="K5" s="4">
        <f>J5-I5</f>
        <v>0</v>
      </c>
      <c r="L5" s="4">
        <v>60</v>
      </c>
      <c r="M5" s="8">
        <v>0.05</v>
      </c>
      <c r="N5" s="9">
        <f>(1-M5)/L5</f>
        <v>1.5833333333333331E-2</v>
      </c>
      <c r="O5" s="10">
        <v>1600</v>
      </c>
      <c r="P5" s="29">
        <f t="shared" ref="P5:P8" si="1">O5*F5</f>
        <v>3532727.5775999995</v>
      </c>
      <c r="Q5" s="10">
        <f>P5*N5*K5</f>
        <v>0</v>
      </c>
      <c r="R5" s="10">
        <f>MAX(P5-Q5,0)</f>
        <v>3532727.5775999995</v>
      </c>
      <c r="S5" s="11">
        <v>0</v>
      </c>
      <c r="T5" s="10">
        <f>IF(R5&gt;M5*P5,R5*(1-S5),P5*M5)</f>
        <v>3532727.5775999995</v>
      </c>
      <c r="U5" s="15"/>
      <c r="AB5" s="3">
        <v>205.124</v>
      </c>
    </row>
    <row r="6" spans="1:29" x14ac:dyDescent="0.25">
      <c r="A6" s="7">
        <v>3</v>
      </c>
      <c r="B6" s="31" t="s">
        <v>16</v>
      </c>
      <c r="C6" s="4" t="s">
        <v>14</v>
      </c>
      <c r="D6" s="4" t="s">
        <v>15</v>
      </c>
      <c r="E6" s="4">
        <v>189.947</v>
      </c>
      <c r="F6" s="4">
        <f t="shared" si="0"/>
        <v>2044.5895079999998</v>
      </c>
      <c r="G6" s="26">
        <f>H6/10.764</f>
        <v>200.66889632107024</v>
      </c>
      <c r="H6" s="26">
        <v>2160</v>
      </c>
      <c r="I6" s="4">
        <v>2022</v>
      </c>
      <c r="J6" s="4">
        <v>2022</v>
      </c>
      <c r="K6" s="4">
        <f t="shared" ref="K6:K7" si="2">J6-I6</f>
        <v>0</v>
      </c>
      <c r="L6" s="4">
        <v>60</v>
      </c>
      <c r="M6" s="8">
        <v>0.05</v>
      </c>
      <c r="N6" s="9">
        <f t="shared" ref="N6:N7" si="3">(1-M6)/L6</f>
        <v>1.5833333333333331E-2</v>
      </c>
      <c r="O6" s="10">
        <v>1600</v>
      </c>
      <c r="P6" s="29">
        <f t="shared" si="1"/>
        <v>3271343.2127999999</v>
      </c>
      <c r="Q6" s="10">
        <f t="shared" ref="Q6:Q7" si="4">P6*N6*K6</f>
        <v>0</v>
      </c>
      <c r="R6" s="10">
        <f t="shared" ref="R6:R7" si="5">MAX(P6-Q6,0)</f>
        <v>3271343.2127999999</v>
      </c>
      <c r="S6" s="11">
        <v>0</v>
      </c>
      <c r="T6" s="10">
        <f t="shared" ref="T6:T7" si="6">IF(R6&gt;M6*P6,R6*(1-S6),P6*M6)</f>
        <v>3271343.2127999999</v>
      </c>
      <c r="U6" s="15"/>
      <c r="Y6">
        <v>5.0199999999999996</v>
      </c>
      <c r="AB6">
        <v>189.947</v>
      </c>
    </row>
    <row r="7" spans="1:29" x14ac:dyDescent="0.25">
      <c r="A7" s="7">
        <v>4</v>
      </c>
      <c r="B7" s="31" t="s">
        <v>38</v>
      </c>
      <c r="C7" s="4" t="s">
        <v>14</v>
      </c>
      <c r="D7" s="4" t="s">
        <v>15</v>
      </c>
      <c r="E7" s="4">
        <v>98.358999999999995</v>
      </c>
      <c r="F7" s="4">
        <f t="shared" si="0"/>
        <v>1058.7362759999999</v>
      </c>
      <c r="G7" s="26">
        <f>H7/10.764</f>
        <v>96.246748420661476</v>
      </c>
      <c r="H7" s="26">
        <v>1036</v>
      </c>
      <c r="I7" s="4">
        <v>2022</v>
      </c>
      <c r="J7" s="4">
        <v>2022</v>
      </c>
      <c r="K7" s="4">
        <f t="shared" si="2"/>
        <v>0</v>
      </c>
      <c r="L7" s="4">
        <v>60</v>
      </c>
      <c r="M7" s="8">
        <v>0.05</v>
      </c>
      <c r="N7" s="9">
        <f t="shared" si="3"/>
        <v>1.5833333333333331E-2</v>
      </c>
      <c r="O7" s="10">
        <v>1600</v>
      </c>
      <c r="P7" s="29">
        <f t="shared" si="1"/>
        <v>1693978.0415999999</v>
      </c>
      <c r="Q7" s="10">
        <f t="shared" si="4"/>
        <v>0</v>
      </c>
      <c r="R7" s="10">
        <f t="shared" si="5"/>
        <v>1693978.0415999999</v>
      </c>
      <c r="S7" s="11">
        <v>0</v>
      </c>
      <c r="T7" s="10">
        <f t="shared" si="6"/>
        <v>1693978.0415999999</v>
      </c>
      <c r="U7" s="15"/>
      <c r="Y7">
        <v>7.08</v>
      </c>
      <c r="AB7">
        <v>98.358999999999995</v>
      </c>
    </row>
    <row r="8" spans="1:29" s="3" customFormat="1" x14ac:dyDescent="0.25">
      <c r="A8" s="7">
        <v>5</v>
      </c>
      <c r="B8" s="31" t="s">
        <v>41</v>
      </c>
      <c r="C8" s="4" t="s">
        <v>14</v>
      </c>
      <c r="D8" s="4" t="s">
        <v>15</v>
      </c>
      <c r="E8" s="4">
        <v>35.424999999999997</v>
      </c>
      <c r="F8" s="4">
        <f t="shared" si="0"/>
        <v>381.31469999999996</v>
      </c>
      <c r="G8" s="4"/>
      <c r="H8" s="26"/>
      <c r="I8" s="4">
        <v>2022</v>
      </c>
      <c r="J8" s="4">
        <v>2022</v>
      </c>
      <c r="K8" s="4">
        <f t="shared" ref="K8" si="7">J8-I8</f>
        <v>0</v>
      </c>
      <c r="L8" s="4">
        <v>60</v>
      </c>
      <c r="M8" s="8">
        <v>0.05</v>
      </c>
      <c r="N8" s="9">
        <f t="shared" ref="N8" si="8">(1-M8)/L8</f>
        <v>1.5833333333333331E-2</v>
      </c>
      <c r="O8" s="10">
        <v>1600</v>
      </c>
      <c r="P8" s="29">
        <f t="shared" si="1"/>
        <v>610103.5199999999</v>
      </c>
      <c r="Q8" s="10">
        <f t="shared" ref="Q8" si="9">P8*N8*K8</f>
        <v>0</v>
      </c>
      <c r="R8" s="10">
        <f t="shared" ref="R8" si="10">MAX(P8-Q8,0)</f>
        <v>610103.5199999999</v>
      </c>
      <c r="S8" s="11">
        <v>0</v>
      </c>
      <c r="T8" s="10">
        <f t="shared" ref="T8" si="11">IF(R8&gt;M8*P8,R8*(1-S8),P8*M8)</f>
        <v>610103.5199999999</v>
      </c>
      <c r="U8" s="15"/>
      <c r="AB8" s="3">
        <v>35.424999999999997</v>
      </c>
    </row>
    <row r="9" spans="1:29" x14ac:dyDescent="0.25">
      <c r="A9" s="39" t="s">
        <v>17</v>
      </c>
      <c r="B9" s="39"/>
      <c r="C9" s="39"/>
      <c r="D9" s="39"/>
      <c r="E9" s="28">
        <f>SUM(E4:E8)</f>
        <v>711.298</v>
      </c>
      <c r="F9" s="28">
        <f>SUM(F4:F8)</f>
        <v>7656.4116719999993</v>
      </c>
      <c r="G9" s="27">
        <f>SUM(G4:G8)</f>
        <v>698.25343738387221</v>
      </c>
      <c r="H9" s="27">
        <f t="shared" ref="H9" si="12">SUM(H4:H8)</f>
        <v>7516</v>
      </c>
      <c r="I9" s="39"/>
      <c r="J9" s="39"/>
      <c r="K9" s="39"/>
      <c r="L9" s="39"/>
      <c r="M9" s="39"/>
      <c r="N9" s="39"/>
      <c r="O9" s="39"/>
      <c r="P9" s="12">
        <f>SUM(P4:P7)</f>
        <v>11640155.155199999</v>
      </c>
      <c r="Q9" s="12">
        <f>SUM(Q4:Q7)</f>
        <v>0</v>
      </c>
      <c r="R9" s="12">
        <f>SUM(R4:R7)</f>
        <v>11640155.155199999</v>
      </c>
      <c r="S9" s="13"/>
      <c r="T9" s="12">
        <f>SUM(T4:T7)</f>
        <v>11640155.155199999</v>
      </c>
      <c r="U9" s="15"/>
      <c r="V9" s="15"/>
      <c r="Y9">
        <v>17.260000000000002</v>
      </c>
      <c r="AB9">
        <f>SUM(AB4:AB8)</f>
        <v>711.298</v>
      </c>
      <c r="AC9">
        <f>AB9*10.764</f>
        <v>7656.4116719999993</v>
      </c>
    </row>
    <row r="10" spans="1:29" x14ac:dyDescent="0.25">
      <c r="A10" s="44" t="s">
        <v>18</v>
      </c>
      <c r="B10" s="44"/>
      <c r="C10" s="44"/>
      <c r="D10" s="44"/>
      <c r="E10" s="44"/>
      <c r="F10" s="44"/>
      <c r="G10" s="44"/>
      <c r="H10" s="44"/>
      <c r="I10" s="44"/>
      <c r="J10" s="44"/>
      <c r="K10" s="44"/>
      <c r="L10" s="44"/>
      <c r="M10" s="44"/>
      <c r="N10" s="44"/>
      <c r="O10" s="44"/>
      <c r="P10" s="44"/>
      <c r="Q10" s="44"/>
      <c r="R10" s="44"/>
      <c r="S10" s="44"/>
      <c r="T10" s="44"/>
      <c r="V10" s="15"/>
      <c r="Y10">
        <v>14.28</v>
      </c>
    </row>
    <row r="11" spans="1:29" x14ac:dyDescent="0.25">
      <c r="A11" s="40" t="s">
        <v>23</v>
      </c>
      <c r="B11" s="40"/>
      <c r="C11" s="40"/>
      <c r="D11" s="40"/>
      <c r="E11" s="40"/>
      <c r="F11" s="40"/>
      <c r="G11" s="40"/>
      <c r="H11" s="40"/>
      <c r="I11" s="40"/>
      <c r="J11" s="40"/>
      <c r="K11" s="40"/>
      <c r="L11" s="40"/>
      <c r="M11" s="40"/>
      <c r="N11" s="40"/>
      <c r="O11" s="40"/>
      <c r="P11" s="40"/>
      <c r="Q11" s="40"/>
      <c r="R11" s="40"/>
      <c r="S11" s="40"/>
      <c r="T11" s="40"/>
      <c r="Y11">
        <f>SUM(Y4:Y10)</f>
        <v>45.93</v>
      </c>
    </row>
    <row r="12" spans="1:29" s="3" customFormat="1" x14ac:dyDescent="0.25">
      <c r="A12" s="41" t="s">
        <v>46</v>
      </c>
      <c r="B12" s="42"/>
      <c r="C12" s="42"/>
      <c r="D12" s="42"/>
      <c r="E12" s="42"/>
      <c r="F12" s="42"/>
      <c r="G12" s="42"/>
      <c r="H12" s="42"/>
      <c r="I12" s="42"/>
      <c r="J12" s="42"/>
      <c r="K12" s="42"/>
      <c r="L12" s="42"/>
      <c r="M12" s="42"/>
      <c r="N12" s="42"/>
      <c r="O12" s="42"/>
      <c r="P12" s="42"/>
      <c r="Q12" s="42"/>
      <c r="R12" s="42"/>
      <c r="S12" s="42"/>
      <c r="T12" s="43"/>
      <c r="Y12" s="3">
        <f>Y11*3.28</f>
        <v>150.65039999999999</v>
      </c>
      <c r="AB12" s="3">
        <v>1.2</v>
      </c>
      <c r="AC12" s="3">
        <f>AB12*497.04</f>
        <v>596.44799999999998</v>
      </c>
    </row>
    <row r="13" spans="1:29" x14ac:dyDescent="0.25">
      <c r="A13" s="40" t="s">
        <v>19</v>
      </c>
      <c r="B13" s="40"/>
      <c r="C13" s="40"/>
      <c r="D13" s="40"/>
      <c r="E13" s="40"/>
      <c r="F13" s="40"/>
      <c r="G13" s="40"/>
      <c r="H13" s="40"/>
      <c r="I13" s="40"/>
      <c r="J13" s="40"/>
      <c r="K13" s="40"/>
      <c r="L13" s="40"/>
      <c r="M13" s="40"/>
      <c r="N13" s="40"/>
      <c r="O13" s="40"/>
      <c r="P13" s="40"/>
      <c r="Q13" s="40"/>
      <c r="R13" s="40"/>
      <c r="S13" s="40"/>
      <c r="T13" s="40"/>
      <c r="V13">
        <f>12000*449.96</f>
        <v>5399520</v>
      </c>
    </row>
    <row r="14" spans="1:29" x14ac:dyDescent="0.25">
      <c r="A14" s="45" t="s">
        <v>44</v>
      </c>
      <c r="B14" s="45"/>
      <c r="C14" s="45"/>
      <c r="D14" s="45"/>
      <c r="E14" s="45"/>
      <c r="F14" s="45"/>
      <c r="G14" s="45"/>
      <c r="H14" s="45"/>
      <c r="I14" s="45"/>
      <c r="J14" s="45"/>
      <c r="K14" s="45"/>
      <c r="L14" s="45"/>
      <c r="M14" s="45"/>
      <c r="N14" s="45"/>
      <c r="O14" s="45"/>
      <c r="P14" s="45"/>
      <c r="Q14" s="45"/>
      <c r="R14" s="45"/>
      <c r="S14" s="45"/>
      <c r="T14" s="45"/>
    </row>
    <row r="15" spans="1:29" s="3" customFormat="1" x14ac:dyDescent="0.25">
      <c r="A15" s="33" t="s">
        <v>45</v>
      </c>
      <c r="B15" s="34"/>
      <c r="C15" s="34"/>
      <c r="D15" s="34"/>
      <c r="E15" s="34"/>
      <c r="F15" s="34"/>
      <c r="G15" s="34"/>
      <c r="H15" s="34"/>
      <c r="I15" s="34"/>
      <c r="J15" s="34"/>
      <c r="K15" s="34"/>
      <c r="L15" s="34"/>
      <c r="M15" s="34"/>
      <c r="N15" s="34"/>
      <c r="O15" s="34"/>
      <c r="P15" s="34"/>
      <c r="Q15" s="34"/>
      <c r="R15" s="34"/>
      <c r="S15" s="34"/>
      <c r="T15" s="35"/>
    </row>
    <row r="16" spans="1:29" s="3" customFormat="1" x14ac:dyDescent="0.25">
      <c r="A16" s="36"/>
      <c r="B16" s="37"/>
      <c r="C16" s="37"/>
      <c r="D16" s="37"/>
      <c r="E16" s="37"/>
      <c r="F16" s="37"/>
      <c r="G16" s="37"/>
      <c r="H16" s="37"/>
      <c r="I16" s="37"/>
      <c r="J16" s="37"/>
      <c r="K16" s="37"/>
      <c r="L16" s="37"/>
      <c r="M16" s="37"/>
      <c r="N16" s="37"/>
      <c r="O16" s="37"/>
      <c r="P16" s="37"/>
      <c r="Q16" s="37"/>
      <c r="R16" s="37"/>
      <c r="S16" s="37"/>
      <c r="T16" s="38"/>
    </row>
    <row r="17" spans="1:26" x14ac:dyDescent="0.25">
      <c r="A17" s="17"/>
      <c r="Y17">
        <v>497.04</v>
      </c>
      <c r="Z17">
        <f>Y17*1.3</f>
        <v>646.15200000000004</v>
      </c>
    </row>
    <row r="18" spans="1:26" x14ac:dyDescent="0.25">
      <c r="J18" s="1"/>
      <c r="K18">
        <v>83</v>
      </c>
      <c r="L18" s="14"/>
      <c r="M18">
        <v>350</v>
      </c>
      <c r="R18">
        <f>83.612*56640</f>
        <v>4735783.68</v>
      </c>
    </row>
    <row r="19" spans="1:26" x14ac:dyDescent="0.25">
      <c r="I19">
        <f>3320/10.764</f>
        <v>308.4355258268302</v>
      </c>
      <c r="J19" s="2"/>
      <c r="M19">
        <f>M18*K18/100</f>
        <v>290.5</v>
      </c>
    </row>
    <row r="21" spans="1:26" x14ac:dyDescent="0.25">
      <c r="I21">
        <f>83*350/100</f>
        <v>290.5</v>
      </c>
      <c r="K21">
        <f>(350*83/100)*9</f>
        <v>2614.5</v>
      </c>
      <c r="O21">
        <f>100*9</f>
        <v>900</v>
      </c>
    </row>
    <row r="22" spans="1:26" x14ac:dyDescent="0.25">
      <c r="I22">
        <f>I21*10.764</f>
        <v>3126.942</v>
      </c>
      <c r="K22">
        <f>K21/3</f>
        <v>871.5</v>
      </c>
      <c r="O22">
        <f>O21/10.764</f>
        <v>83.612040133779274</v>
      </c>
    </row>
    <row r="23" spans="1:26" x14ac:dyDescent="0.25">
      <c r="H23">
        <f>3127/10.74</f>
        <v>291.15456238361264</v>
      </c>
      <c r="I23" s="16" t="e">
        <f>#REF!-I22</f>
        <v>#REF!</v>
      </c>
    </row>
    <row r="24" spans="1:26" x14ac:dyDescent="0.25">
      <c r="M24">
        <f>3127/10.764</f>
        <v>290.50538833147533</v>
      </c>
    </row>
    <row r="26" spans="1:26" x14ac:dyDescent="0.25">
      <c r="O26">
        <f>90*3.5</f>
        <v>315</v>
      </c>
    </row>
    <row r="27" spans="1:26" x14ac:dyDescent="0.25">
      <c r="O27">
        <f>O26*9</f>
        <v>2835</v>
      </c>
    </row>
  </sheetData>
  <mergeCells count="9">
    <mergeCell ref="A1:T2"/>
    <mergeCell ref="A15:T16"/>
    <mergeCell ref="A9:D9"/>
    <mergeCell ref="I9:O9"/>
    <mergeCell ref="A11:T11"/>
    <mergeCell ref="A12:T12"/>
    <mergeCell ref="A10:T10"/>
    <mergeCell ref="A13:T13"/>
    <mergeCell ref="A14:T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opLeftCell="A13" workbookViewId="0">
      <selection activeCell="M31" sqref="M31"/>
    </sheetView>
  </sheetViews>
  <sheetFormatPr defaultRowHeight="15" x14ac:dyDescent="0.25"/>
  <cols>
    <col min="1" max="1" width="9" customWidth="1"/>
    <col min="2" max="2" width="10.42578125" customWidth="1"/>
    <col min="3" max="3" width="10" customWidth="1"/>
    <col min="4" max="4" width="13.85546875" customWidth="1"/>
    <col min="5" max="5" width="10.42578125" customWidth="1"/>
    <col min="6" max="6" width="7.7109375" hidden="1" customWidth="1"/>
    <col min="7" max="7" width="9" hidden="1" customWidth="1"/>
    <col min="8" max="8" width="10.28515625" customWidth="1"/>
    <col min="9" max="9" width="10.7109375" customWidth="1"/>
    <col min="10" max="10" width="9" hidden="1" customWidth="1"/>
    <col min="11" max="11" width="13.28515625" customWidth="1"/>
    <col min="12" max="12" width="8.7109375" hidden="1" customWidth="1"/>
    <col min="13" max="13" width="13.28515625" customWidth="1"/>
    <col min="14" max="15" width="10" bestFit="1" customWidth="1"/>
  </cols>
  <sheetData>
    <row r="1" spans="1:20" ht="15.75" customHeight="1" x14ac:dyDescent="0.25">
      <c r="A1" s="46" t="s">
        <v>24</v>
      </c>
      <c r="B1" s="46"/>
      <c r="C1" s="46"/>
      <c r="D1" s="46"/>
      <c r="E1" s="46"/>
      <c r="F1" s="46"/>
      <c r="G1" s="46"/>
      <c r="H1" s="46"/>
      <c r="I1" s="46"/>
      <c r="J1" s="46"/>
      <c r="K1" s="46"/>
      <c r="L1" s="46"/>
      <c r="M1" s="46"/>
    </row>
    <row r="2" spans="1:20" ht="91.5" x14ac:dyDescent="0.25">
      <c r="A2" s="18" t="s">
        <v>30</v>
      </c>
      <c r="B2" s="18" t="s">
        <v>25</v>
      </c>
      <c r="C2" s="18" t="s">
        <v>4</v>
      </c>
      <c r="D2" s="18" t="s">
        <v>26</v>
      </c>
      <c r="E2" s="18" t="s">
        <v>27</v>
      </c>
      <c r="F2" s="18" t="s">
        <v>7</v>
      </c>
      <c r="G2" s="18" t="s">
        <v>8</v>
      </c>
      <c r="H2" s="18" t="s">
        <v>28</v>
      </c>
      <c r="I2" s="18" t="s">
        <v>10</v>
      </c>
      <c r="J2" s="18" t="s">
        <v>11</v>
      </c>
      <c r="K2" s="18" t="s">
        <v>12</v>
      </c>
      <c r="L2" s="18" t="s">
        <v>29</v>
      </c>
      <c r="M2" s="18" t="s">
        <v>13</v>
      </c>
    </row>
    <row r="3" spans="1:20" x14ac:dyDescent="0.25">
      <c r="A3" s="19">
        <v>304</v>
      </c>
      <c r="B3" s="20">
        <v>2022</v>
      </c>
      <c r="C3" s="20">
        <v>2022</v>
      </c>
      <c r="D3" s="20">
        <f>C3-B3</f>
        <v>0</v>
      </c>
      <c r="E3" s="20">
        <v>35</v>
      </c>
      <c r="F3" s="21">
        <v>0.1</v>
      </c>
      <c r="G3" s="22">
        <f>(1-F3)/E3</f>
        <v>2.5714285714285714E-2</v>
      </c>
      <c r="H3" s="23">
        <v>1500</v>
      </c>
      <c r="I3" s="23">
        <f>H3*A3</f>
        <v>456000</v>
      </c>
      <c r="J3" s="23">
        <f>I3*G3*D3</f>
        <v>0</v>
      </c>
      <c r="K3" s="23">
        <f>MAX(I3-J3,0)</f>
        <v>456000</v>
      </c>
      <c r="L3" s="24">
        <v>0</v>
      </c>
      <c r="M3" s="23">
        <f>IF(K3&gt;F3*I3,K3*(1-L3),I3*F3)</f>
        <v>456000</v>
      </c>
    </row>
    <row r="6" spans="1:20" x14ac:dyDescent="0.25">
      <c r="K6" s="25"/>
      <c r="M6" s="25">
        <f>M3+'working of building'!T9</f>
        <v>12096155.155199999</v>
      </c>
    </row>
    <row r="8" spans="1:20" x14ac:dyDescent="0.25">
      <c r="E8" t="s">
        <v>40</v>
      </c>
      <c r="K8" s="25"/>
    </row>
    <row r="9" spans="1:20" x14ac:dyDescent="0.25">
      <c r="D9" t="s">
        <v>39</v>
      </c>
      <c r="E9">
        <v>497.04</v>
      </c>
      <c r="H9">
        <f>E9/1.196</f>
        <v>415.58528428093649</v>
      </c>
      <c r="I9">
        <f>H9*1.2</f>
        <v>498.70234113712377</v>
      </c>
    </row>
    <row r="10" spans="1:20" x14ac:dyDescent="0.25">
      <c r="M10">
        <v>24864534</v>
      </c>
      <c r="N10">
        <v>76711355</v>
      </c>
      <c r="P10">
        <f>1-M11/N11</f>
        <v>0.67535853976531945</v>
      </c>
    </row>
    <row r="11" spans="1:20" x14ac:dyDescent="0.25">
      <c r="M11">
        <f>ROUND(M10,-5)</f>
        <v>24900000</v>
      </c>
      <c r="N11" s="3">
        <f>ROUND(N10,-5)</f>
        <v>76700000</v>
      </c>
      <c r="R11">
        <v>2430</v>
      </c>
    </row>
    <row r="12" spans="1:20" x14ac:dyDescent="0.25">
      <c r="C12">
        <v>40</v>
      </c>
      <c r="D12">
        <v>80</v>
      </c>
      <c r="H12">
        <f>H9*0.4</f>
        <v>166.23411371237461</v>
      </c>
      <c r="N12">
        <f>N11*0.85</f>
        <v>65195000</v>
      </c>
      <c r="R12">
        <f>R11/9</f>
        <v>270</v>
      </c>
      <c r="S12">
        <v>36400000</v>
      </c>
      <c r="T12">
        <f>S12/R12</f>
        <v>134814.8148148148</v>
      </c>
    </row>
    <row r="13" spans="1:20" x14ac:dyDescent="0.25">
      <c r="D13">
        <v>224</v>
      </c>
      <c r="N13">
        <f>N11*0.75</f>
        <v>57525000</v>
      </c>
    </row>
    <row r="14" spans="1:20" x14ac:dyDescent="0.25">
      <c r="D14">
        <f>SUM(D12:D13)</f>
        <v>304</v>
      </c>
    </row>
    <row r="15" spans="1:20" x14ac:dyDescent="0.25">
      <c r="R15">
        <v>3375</v>
      </c>
      <c r="S15">
        <v>60000000</v>
      </c>
    </row>
    <row r="16" spans="1:20" x14ac:dyDescent="0.25">
      <c r="R16">
        <f>R15/9</f>
        <v>375</v>
      </c>
      <c r="S16">
        <f>S15/R16</f>
        <v>160000</v>
      </c>
    </row>
    <row r="17" spans="3:21" x14ac:dyDescent="0.25">
      <c r="K17">
        <v>7500</v>
      </c>
      <c r="M17">
        <f>K17*2000</f>
        <v>15000000</v>
      </c>
      <c r="N17">
        <v>80000000</v>
      </c>
      <c r="O17">
        <f>N17-M17</f>
        <v>65000000</v>
      </c>
    </row>
    <row r="18" spans="3:21" x14ac:dyDescent="0.25">
      <c r="C18">
        <f>2673/9</f>
        <v>297</v>
      </c>
      <c r="O18">
        <f>O17/500</f>
        <v>130000</v>
      </c>
    </row>
    <row r="19" spans="3:21" x14ac:dyDescent="0.25">
      <c r="Q19">
        <v>2250</v>
      </c>
    </row>
    <row r="20" spans="3:21" x14ac:dyDescent="0.25">
      <c r="K20">
        <v>595000000</v>
      </c>
      <c r="M20">
        <v>38700000</v>
      </c>
      <c r="Q20">
        <f>Q19/9</f>
        <v>250</v>
      </c>
      <c r="R20">
        <v>40000000</v>
      </c>
      <c r="S20">
        <f>R20/Q20</f>
        <v>160000</v>
      </c>
    </row>
    <row r="21" spans="3:21" x14ac:dyDescent="0.25">
      <c r="C21">
        <f>3645</f>
        <v>3645</v>
      </c>
      <c r="K21">
        <f>K20/400</f>
        <v>1487500</v>
      </c>
      <c r="M21">
        <f>M20/250</f>
        <v>154800</v>
      </c>
    </row>
    <row r="22" spans="3:21" x14ac:dyDescent="0.25">
      <c r="C22">
        <f>C21/9</f>
        <v>405</v>
      </c>
      <c r="D22">
        <v>52000000</v>
      </c>
    </row>
    <row r="23" spans="3:21" x14ac:dyDescent="0.25">
      <c r="D23">
        <f>D22/C22</f>
        <v>128395.06172839506</v>
      </c>
      <c r="T23">
        <v>4986</v>
      </c>
      <c r="U23">
        <v>69000000</v>
      </c>
    </row>
    <row r="24" spans="3:21" x14ac:dyDescent="0.25">
      <c r="T24">
        <f>T23/9</f>
        <v>554</v>
      </c>
      <c r="U24">
        <f>U23/T24</f>
        <v>124548.73646209386</v>
      </c>
    </row>
    <row r="25" spans="3:21" x14ac:dyDescent="0.25">
      <c r="C25">
        <v>3150</v>
      </c>
      <c r="E25">
        <v>47200000</v>
      </c>
      <c r="H25">
        <f>E25/C26</f>
        <v>134857.14285714287</v>
      </c>
      <c r="M25">
        <v>3465</v>
      </c>
      <c r="N25">
        <v>52000000</v>
      </c>
      <c r="Q25">
        <v>2673</v>
      </c>
      <c r="R25">
        <v>4350000</v>
      </c>
    </row>
    <row r="26" spans="3:21" x14ac:dyDescent="0.25">
      <c r="C26">
        <f>C25/9</f>
        <v>350</v>
      </c>
      <c r="D26">
        <v>50000000</v>
      </c>
      <c r="M26">
        <f>M25/9</f>
        <v>385</v>
      </c>
      <c r="N26">
        <f>N25/M26</f>
        <v>135064.93506493507</v>
      </c>
      <c r="Q26">
        <f>Q25/9</f>
        <v>297</v>
      </c>
      <c r="R26">
        <f>R25/Q26</f>
        <v>14646.464646464647</v>
      </c>
    </row>
    <row r="27" spans="3:21" x14ac:dyDescent="0.25">
      <c r="D27">
        <f>D26/C26</f>
        <v>142857.14285714287</v>
      </c>
    </row>
    <row r="29" spans="3:21" x14ac:dyDescent="0.25">
      <c r="Q29">
        <v>44500000</v>
      </c>
      <c r="R29">
        <v>2673</v>
      </c>
      <c r="S29">
        <f>R29/9</f>
        <v>297</v>
      </c>
    </row>
    <row r="30" spans="3:21" x14ac:dyDescent="0.25">
      <c r="I30">
        <v>2259</v>
      </c>
      <c r="K30">
        <v>35000000</v>
      </c>
      <c r="S30">
        <f>Q29/S29</f>
        <v>149831.64983164982</v>
      </c>
    </row>
    <row r="31" spans="3:21" x14ac:dyDescent="0.25">
      <c r="K31">
        <f>I30/9</f>
        <v>251</v>
      </c>
      <c r="M31">
        <f>K30/K31</f>
        <v>139442.2310756972</v>
      </c>
    </row>
  </sheetData>
  <mergeCells count="1">
    <mergeCell ref="A1:M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5:N18"/>
  <sheetViews>
    <sheetView workbookViewId="0">
      <selection activeCell="N12" sqref="N12"/>
    </sheetView>
  </sheetViews>
  <sheetFormatPr defaultRowHeight="15" x14ac:dyDescent="0.25"/>
  <cols>
    <col min="5" max="5" width="13.7109375" bestFit="1" customWidth="1"/>
  </cols>
  <sheetData>
    <row r="5" spans="5:14" x14ac:dyDescent="0.25">
      <c r="E5" t="s">
        <v>31</v>
      </c>
      <c r="F5">
        <v>12055680</v>
      </c>
    </row>
    <row r="6" spans="5:14" x14ac:dyDescent="0.25">
      <c r="E6" t="s">
        <v>32</v>
      </c>
      <c r="F6">
        <v>6816454</v>
      </c>
      <c r="H6">
        <f>F6+F7</f>
        <v>7146454</v>
      </c>
      <c r="L6">
        <v>334.88</v>
      </c>
    </row>
    <row r="7" spans="5:14" x14ac:dyDescent="0.25">
      <c r="E7" t="s">
        <v>33</v>
      </c>
      <c r="F7">
        <v>330000</v>
      </c>
      <c r="L7">
        <v>36000</v>
      </c>
    </row>
    <row r="8" spans="5:14" x14ac:dyDescent="0.25">
      <c r="F8">
        <f>SUM(F5:F7)</f>
        <v>19202134</v>
      </c>
      <c r="L8">
        <f>L7*L6</f>
        <v>12055680</v>
      </c>
    </row>
    <row r="9" spans="5:14" x14ac:dyDescent="0.25">
      <c r="H9">
        <v>19600000</v>
      </c>
    </row>
    <row r="10" spans="5:14" x14ac:dyDescent="0.25">
      <c r="H10">
        <f>H9*0.85</f>
        <v>16660000</v>
      </c>
    </row>
    <row r="11" spans="5:14" x14ac:dyDescent="0.25">
      <c r="H11">
        <f>H9*0.75</f>
        <v>14700000</v>
      </c>
    </row>
    <row r="12" spans="5:14" x14ac:dyDescent="0.25">
      <c r="N12">
        <f>75.74+140</f>
        <v>215.74</v>
      </c>
    </row>
    <row r="16" spans="5:14" x14ac:dyDescent="0.25">
      <c r="J16">
        <v>334.88</v>
      </c>
    </row>
    <row r="17" spans="10:10" x14ac:dyDescent="0.25">
      <c r="J17">
        <v>36000</v>
      </c>
    </row>
    <row r="18" spans="10:10" x14ac:dyDescent="0.25">
      <c r="J18">
        <f>J17*J16</f>
        <v>12055680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working of building</vt:lpstr>
      <vt:lpstr>Boundary wall</vt:lpstr>
      <vt:lpstr>summary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Gupta</dc:creator>
  <cp:lastModifiedBy>Rahul Gupta</cp:lastModifiedBy>
  <dcterms:created xsi:type="dcterms:W3CDTF">2022-07-22T06:40:54Z</dcterms:created>
  <dcterms:modified xsi:type="dcterms:W3CDTF">2022-09-27T12:33:27Z</dcterms:modified>
</cp:coreProperties>
</file>