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In Progress Files\Arun Tomar\- - - IN PROGRESS (2022 - 2023) - - -\VIS(2022-23)-PL362 -  Ms Archid Panel Industries Ltd\VIS(2022-23)-PL362-282-519\"/>
    </mc:Choice>
  </mc:AlternateContent>
  <bookViews>
    <workbookView xWindow="0" yWindow="0" windowWidth="6645" windowHeight="645"/>
  </bookViews>
  <sheets>
    <sheet name="Land Valuation" sheetId="2" r:id="rId1"/>
    <sheet name="Building Valuation" sheetId="3" r:id="rId2"/>
    <sheet name="Wall Valuation" sheetId="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2" l="1"/>
  <c r="H6" i="2"/>
  <c r="D17" i="2"/>
  <c r="C39" i="2"/>
  <c r="E39" i="2" l="1"/>
  <c r="C32" i="2" l="1"/>
  <c r="D16" i="2"/>
  <c r="J4" i="4" l="1"/>
  <c r="K4" i="4" s="1"/>
  <c r="L4" i="4" s="1"/>
  <c r="N4" i="4" s="1"/>
  <c r="H4" i="4"/>
  <c r="E4" i="4"/>
  <c r="H4" i="2"/>
  <c r="L5" i="2" s="1"/>
  <c r="E17" i="2"/>
  <c r="E32" i="2"/>
  <c r="F16" i="2"/>
  <c r="E16" i="2"/>
  <c r="F17" i="2" l="1"/>
  <c r="F18" i="2" s="1"/>
  <c r="E18" i="2"/>
  <c r="D18" i="2"/>
  <c r="N6" i="3"/>
  <c r="K6" i="3"/>
  <c r="F6" i="3"/>
  <c r="H6" i="3" s="1"/>
  <c r="P6" i="3" s="1"/>
  <c r="N5" i="3"/>
  <c r="K5" i="3"/>
  <c r="F5" i="3"/>
  <c r="H5" i="3" s="1"/>
  <c r="P5" i="3" s="1"/>
  <c r="N4" i="3"/>
  <c r="K4" i="3"/>
  <c r="F4" i="3"/>
  <c r="H4" i="3" s="1"/>
  <c r="D19" i="2" l="1"/>
  <c r="Q6" i="3"/>
  <c r="R6" i="3" s="1"/>
  <c r="T6" i="3" s="1"/>
  <c r="Q5" i="3"/>
  <c r="R5" i="3" s="1"/>
  <c r="T5" i="3" s="1"/>
  <c r="H7" i="3"/>
  <c r="P4" i="3"/>
  <c r="F7" i="3"/>
  <c r="D20" i="2" l="1"/>
  <c r="F21" i="2"/>
  <c r="P7" i="3"/>
  <c r="Q4" i="3"/>
  <c r="R4" i="3" s="1"/>
  <c r="R7" i="3" l="1"/>
  <c r="T4" i="3"/>
  <c r="T7" i="3" s="1"/>
  <c r="H5" i="2" s="1"/>
  <c r="E6" i="2" l="1"/>
  <c r="N6" i="2" l="1"/>
  <c r="M6" i="2"/>
  <c r="E5" i="2" l="1"/>
  <c r="E7" i="2" s="1"/>
  <c r="F8" i="2" s="1"/>
</calcChain>
</file>

<file path=xl/sharedStrings.xml><?xml version="1.0" encoding="utf-8"?>
<sst xmlns="http://schemas.openxmlformats.org/spreadsheetml/2006/main" count="90" uniqueCount="71">
  <si>
    <t>Area</t>
  </si>
  <si>
    <t>Rate</t>
  </si>
  <si>
    <t>FMV</t>
  </si>
  <si>
    <t>LAND</t>
  </si>
  <si>
    <t>RV @ 15%</t>
  </si>
  <si>
    <t>DV @ 25%</t>
  </si>
  <si>
    <t>BUILDING</t>
  </si>
  <si>
    <t>BOUNDARY WALL VALUATION</t>
  </si>
  <si>
    <t>Year of Construction</t>
  </si>
  <si>
    <t xml:space="preserve">Year of Valuation </t>
  </si>
  <si>
    <r>
      <t xml:space="preserve">Total Life Consumed 
</t>
    </r>
    <r>
      <rPr>
        <b/>
        <i/>
        <sz val="10"/>
        <rFont val="Calibri"/>
        <family val="2"/>
        <scheme val="minor"/>
      </rPr>
      <t>(in years)</t>
    </r>
  </si>
  <si>
    <r>
      <t xml:space="preserve">Total Economical Life
</t>
    </r>
    <r>
      <rPr>
        <b/>
        <i/>
        <sz val="10"/>
        <rFont val="Calibri"/>
        <family val="2"/>
        <scheme val="minor"/>
      </rPr>
      <t>(in years)</t>
    </r>
  </si>
  <si>
    <t>Salvage value</t>
  </si>
  <si>
    <t>Depreciation Rate</t>
  </si>
  <si>
    <t>Gross Replacement Value
(INR)</t>
  </si>
  <si>
    <t xml:space="preserve">Depreciation
(INR) </t>
  </si>
  <si>
    <t>Depreciated Value
(INR)</t>
  </si>
  <si>
    <t>Discounting Factor</t>
  </si>
  <si>
    <t>Depreciated Replacement Market Value
(INR)</t>
  </si>
  <si>
    <t>CIRCLE RATE VALUE
(ALL RATES OR UNITS IN SQM)</t>
  </si>
  <si>
    <t>Land + Building + Wall</t>
  </si>
  <si>
    <t>Calculation by Belting Method</t>
  </si>
  <si>
    <t>Total Area</t>
  </si>
  <si>
    <t>Area (front side)</t>
  </si>
  <si>
    <t>Area (middle part)</t>
  </si>
  <si>
    <t>Area (back side)</t>
  </si>
  <si>
    <t>Value</t>
  </si>
  <si>
    <t>Total Value</t>
  </si>
  <si>
    <t>TOTAL</t>
  </si>
  <si>
    <t>Area (Yards)</t>
  </si>
  <si>
    <t>Rate (Yards)</t>
  </si>
  <si>
    <t>Average Rate (Yards)</t>
  </si>
  <si>
    <t>Building Value</t>
  </si>
  <si>
    <t>Land value</t>
  </si>
  <si>
    <t>Total</t>
  </si>
  <si>
    <t>M/S ARCHIDPANEL INDUSTRIES PRIVATE LIMITED VALUATION USING BELTING METHOD</t>
  </si>
  <si>
    <t>Sno.</t>
  </si>
  <si>
    <t>Unit</t>
  </si>
  <si>
    <t>Floor</t>
  </si>
  <si>
    <t>Type of Structure</t>
  </si>
  <si>
    <t>Area Considered for valuation
(in sq.ft)</t>
  </si>
  <si>
    <t>Ground Floor</t>
  </si>
  <si>
    <t>Remarks:</t>
  </si>
  <si>
    <r>
      <t xml:space="preserve">Area 
</t>
    </r>
    <r>
      <rPr>
        <b/>
        <i/>
        <sz val="10"/>
        <rFont val="Calibri"/>
        <family val="2"/>
        <scheme val="minor"/>
      </rPr>
      <t>(in sq.ft)</t>
    </r>
  </si>
  <si>
    <r>
      <t xml:space="preserve">Height </t>
    </r>
    <r>
      <rPr>
        <b/>
        <i/>
        <sz val="10"/>
        <rFont val="Calibri"/>
        <family val="2"/>
        <scheme val="minor"/>
      </rPr>
      <t>(in ft.)</t>
    </r>
  </si>
  <si>
    <r>
      <t xml:space="preserve">Plinth Area  Average Rate 
</t>
    </r>
    <r>
      <rPr>
        <b/>
        <i/>
        <sz val="10"/>
        <rFont val="Calibri"/>
        <family val="2"/>
        <scheme val="minor"/>
      </rPr>
      <t>(in per sq.ft)</t>
    </r>
  </si>
  <si>
    <r>
      <t>3.</t>
    </r>
    <r>
      <rPr>
        <i/>
        <sz val="10"/>
        <color theme="1"/>
        <rFont val="Calibri"/>
        <family val="2"/>
        <scheme val="minor"/>
      </rPr>
      <t xml:space="preserve"> The valuation is done by considering the depreciated replacement cost approach.</t>
    </r>
  </si>
  <si>
    <t>Shed 1</t>
  </si>
  <si>
    <t>Shed 2</t>
  </si>
  <si>
    <t>Shed 3</t>
  </si>
  <si>
    <t>Cement Sheets on RCC beam and column &amp; flooring of Cement Paste.</t>
  </si>
  <si>
    <r>
      <t xml:space="preserve">2. </t>
    </r>
    <r>
      <rPr>
        <i/>
        <sz val="10"/>
        <color theme="1"/>
        <rFont val="Calibri"/>
        <family val="2"/>
        <scheme val="minor"/>
      </rPr>
      <t>All the structure that has been taken in the area statemnet belonging to  M/S ARCHIDPANEL INDUSTRIES PRIVATE LIMITED.</t>
    </r>
  </si>
  <si>
    <t>Comparable rate</t>
  </si>
  <si>
    <t>&lt;- Final Adjusted Rate</t>
  </si>
  <si>
    <t>Premium for small plot</t>
  </si>
  <si>
    <t>Fair Market Value</t>
  </si>
  <si>
    <t>Rounded off Value</t>
  </si>
  <si>
    <r>
      <t xml:space="preserve">Wall
</t>
    </r>
    <r>
      <rPr>
        <b/>
        <i/>
        <sz val="11"/>
        <rFont val="Calibri"/>
        <family val="2"/>
        <scheme val="minor"/>
      </rPr>
      <t>(in Running mtr.)</t>
    </r>
  </si>
  <si>
    <r>
      <t xml:space="preserve">Total Life Consumed 
</t>
    </r>
    <r>
      <rPr>
        <b/>
        <i/>
        <sz val="11"/>
        <rFont val="Calibri"/>
        <family val="2"/>
        <scheme val="minor"/>
      </rPr>
      <t>(in years)</t>
    </r>
  </si>
  <si>
    <r>
      <t xml:space="preserve">Total Economical Life
</t>
    </r>
    <r>
      <rPr>
        <b/>
        <i/>
        <sz val="11"/>
        <rFont val="Calibri"/>
        <family val="2"/>
        <scheme val="minor"/>
      </rPr>
      <t>(in years)</t>
    </r>
  </si>
  <si>
    <r>
      <t xml:space="preserve">Plinth Area  Rate 
</t>
    </r>
    <r>
      <rPr>
        <b/>
        <i/>
        <sz val="11"/>
        <rFont val="Calibri"/>
        <family val="2"/>
        <scheme val="minor"/>
      </rPr>
      <t>(in per running mtr.)</t>
    </r>
  </si>
  <si>
    <t>-</t>
  </si>
  <si>
    <t>Asking Price</t>
  </si>
  <si>
    <t>Asking Rate</t>
  </si>
  <si>
    <r>
      <t xml:space="preserve">1. </t>
    </r>
    <r>
      <rPr>
        <b/>
        <i/>
        <sz val="10"/>
        <color theme="1"/>
        <rFont val="Calibri"/>
        <family val="2"/>
        <scheme val="minor"/>
      </rPr>
      <t>All the details pertaing to the building area statement such as area, floor, etc has been taken only from Sample measurements taken during site surv, as no building plan was provided to us upon our request.</t>
    </r>
  </si>
  <si>
    <t>VALUATION OF BUILDING OWNED BY M/S ARCHIDPANEL INDUSTRIES PRIVATE LIMITED | FULSUNGI, UDHAM SINGH NAGAR</t>
  </si>
  <si>
    <r>
      <t xml:space="preserve">Plot Area </t>
    </r>
    <r>
      <rPr>
        <b/>
        <sz val="11"/>
        <color theme="1"/>
        <rFont val="Calibri"/>
        <family val="2"/>
        <scheme val="minor"/>
      </rPr>
      <t>sqyds</t>
    </r>
  </si>
  <si>
    <t>Discount on Asking price</t>
  </si>
  <si>
    <t>Ansh Mobile Shop - 9720495495</t>
  </si>
  <si>
    <t>Balaji Properties - 7464820187</t>
  </si>
  <si>
    <t>Wall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</si>
</sst>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43" formatCode="_ * #,##0.00_ ;_ * \-#,##0.00_ ;_ * &quot;-&quot;??_ ;_ @_ "/>
    <numFmt numFmtId="164" formatCode="0.0000"/>
    <numFmt numFmtId="165" formatCode="_ &quot;₹&quot;\ * #,##0_ ;_ &quot;₹&quot;\ * \-#,##0_ ;_ &quot;₹&quot;\ * &quot;-&quot;??_ ;_ @_ "/>
    <numFmt numFmtId="166" formatCode="_ * #,##0_ ;_ * \-#,##0_ ;_ * &quot;-&quot;??_ ;_ @_ "/>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name val="Calibri"/>
      <family val="2"/>
      <scheme val="minor"/>
    </font>
    <font>
      <b/>
      <i/>
      <sz val="10"/>
      <name val="Calibri"/>
      <family val="2"/>
      <scheme val="minor"/>
    </font>
    <font>
      <b/>
      <sz val="14"/>
      <color theme="0"/>
      <name val="Calibri"/>
      <family val="2"/>
      <scheme val="minor"/>
    </font>
    <font>
      <b/>
      <sz val="11"/>
      <color theme="0"/>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i/>
      <sz val="10"/>
      <color theme="1"/>
      <name val="Calibri"/>
      <family val="2"/>
      <scheme val="minor"/>
    </font>
    <font>
      <i/>
      <sz val="10"/>
      <color theme="1"/>
      <name val="Calibri"/>
      <family val="2"/>
      <scheme val="minor"/>
    </font>
    <font>
      <sz val="12"/>
      <color theme="1"/>
      <name val="Calibri"/>
      <family val="2"/>
      <scheme val="minor"/>
    </font>
    <font>
      <b/>
      <i/>
      <sz val="11"/>
      <name val="Calibri"/>
      <family val="2"/>
      <scheme val="minor"/>
    </font>
    <font>
      <b/>
      <sz val="24"/>
      <color theme="1"/>
      <name val="Calibri"/>
      <family val="2"/>
      <scheme val="minor"/>
    </font>
  </fonts>
  <fills count="8">
    <fill>
      <patternFill patternType="none"/>
    </fill>
    <fill>
      <patternFill patternType="gray125"/>
    </fill>
    <fill>
      <patternFill patternType="solid">
        <fgColor rgb="FF1E3661"/>
        <bgColor indexed="64"/>
      </patternFill>
    </fill>
    <fill>
      <patternFill patternType="solid">
        <fgColor theme="4" tint="0.39997558519241921"/>
        <bgColor indexed="64"/>
      </patternFill>
    </fill>
    <fill>
      <patternFill patternType="solid">
        <fgColor rgb="FF00206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8"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0" fillId="0" borderId="0" xfId="0" applyAlignment="1">
      <alignment wrapText="1"/>
    </xf>
    <xf numFmtId="0" fontId="0" fillId="0" borderId="1" xfId="0" applyBorder="1" applyAlignment="1">
      <alignment horizontal="center" vertical="center"/>
    </xf>
    <xf numFmtId="0" fontId="2" fillId="0" borderId="1" xfId="0" applyFont="1" applyBorder="1" applyAlignment="1">
      <alignment horizontal="center" vertical="center"/>
    </xf>
    <xf numFmtId="9" fontId="0" fillId="0" borderId="1" xfId="0" applyNumberFormat="1" applyBorder="1" applyAlignment="1">
      <alignment horizontal="center" vertical="center"/>
    </xf>
    <xf numFmtId="0" fontId="0" fillId="0" borderId="0" xfId="0" applyAlignment="1">
      <alignment horizontal="center"/>
    </xf>
    <xf numFmtId="0" fontId="4"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1" fontId="0" fillId="0" borderId="1" xfId="0" applyNumberFormat="1" applyBorder="1" applyAlignment="1">
      <alignment horizontal="center" vertical="center"/>
    </xf>
    <xf numFmtId="165" fontId="0" fillId="0" borderId="1" xfId="2" applyNumberFormat="1" applyFont="1" applyBorder="1" applyAlignment="1">
      <alignment horizontal="center" vertical="center"/>
    </xf>
    <xf numFmtId="9" fontId="0" fillId="0" borderId="1" xfId="3" applyFont="1" applyBorder="1" applyAlignment="1">
      <alignment horizontal="center" vertical="center"/>
    </xf>
    <xf numFmtId="165" fontId="2" fillId="0" borderId="1" xfId="0" applyNumberFormat="1" applyFont="1" applyBorder="1" applyAlignment="1">
      <alignment horizontal="center"/>
    </xf>
    <xf numFmtId="0" fontId="2" fillId="0" borderId="4" xfId="0" applyFont="1" applyBorder="1" applyAlignment="1">
      <alignment horizontal="center" vertical="center"/>
    </xf>
    <xf numFmtId="165" fontId="1" fillId="0" borderId="1" xfId="2" applyNumberFormat="1" applyFont="1" applyBorder="1" applyAlignment="1">
      <alignment horizontal="center" vertical="center"/>
    </xf>
    <xf numFmtId="43" fontId="0" fillId="0" borderId="1" xfId="1" applyNumberFormat="1" applyFont="1" applyBorder="1" applyAlignment="1">
      <alignment horizontal="center" vertical="center"/>
    </xf>
    <xf numFmtId="0" fontId="3" fillId="7"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0" borderId="1" xfId="0" applyFont="1" applyBorder="1" applyAlignment="1">
      <alignment horizontal="left" vertical="center"/>
    </xf>
    <xf numFmtId="165" fontId="0" fillId="0" borderId="1" xfId="0" applyNumberFormat="1" applyBorder="1" applyAlignment="1">
      <alignment horizontal="center" vertical="center"/>
    </xf>
    <xf numFmtId="43" fontId="2" fillId="0" borderId="1" xfId="1" applyNumberFormat="1" applyFont="1" applyBorder="1" applyAlignment="1">
      <alignment horizontal="center" vertical="center"/>
    </xf>
    <xf numFmtId="165" fontId="0" fillId="0" borderId="1" xfId="0" applyNumberFormat="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4" fillId="3" borderId="1" xfId="0" applyFont="1" applyFill="1" applyBorder="1" applyAlignment="1">
      <alignment horizontal="center" vertical="center"/>
    </xf>
    <xf numFmtId="0" fontId="0" fillId="0" borderId="1" xfId="0" applyFill="1" applyBorder="1" applyAlignment="1">
      <alignment horizontal="center" vertical="center"/>
    </xf>
    <xf numFmtId="43" fontId="0" fillId="0" borderId="8" xfId="1" applyNumberFormat="1" applyFont="1" applyBorder="1" applyAlignment="1">
      <alignment horizontal="center" vertical="center" wrapText="1"/>
    </xf>
    <xf numFmtId="1" fontId="0" fillId="0" borderId="8" xfId="0" applyNumberFormat="1" applyBorder="1" applyAlignment="1">
      <alignment horizontal="center" vertical="center"/>
    </xf>
    <xf numFmtId="2" fontId="0" fillId="0" borderId="8" xfId="0" applyNumberFormat="1" applyBorder="1" applyAlignment="1">
      <alignment horizontal="center" vertical="center"/>
    </xf>
    <xf numFmtId="165" fontId="0" fillId="0" borderId="8" xfId="2" applyNumberFormat="1" applyFont="1" applyBorder="1" applyAlignment="1">
      <alignment horizontal="center" vertical="center"/>
    </xf>
    <xf numFmtId="9" fontId="0" fillId="0" borderId="8" xfId="0" applyNumberFormat="1" applyBorder="1" applyAlignment="1">
      <alignment horizontal="center" vertical="center"/>
    </xf>
    <xf numFmtId="165" fontId="2" fillId="0" borderId="1" xfId="2" applyNumberFormat="1" applyFont="1" applyBorder="1" applyAlignment="1">
      <alignment horizontal="center" vertical="center"/>
    </xf>
    <xf numFmtId="9" fontId="0" fillId="0" borderId="1" xfId="0" applyNumberFormat="1" applyBorder="1" applyAlignment="1">
      <alignment vertical="center"/>
    </xf>
    <xf numFmtId="0" fontId="2" fillId="0" borderId="0" xfId="0" applyFont="1" applyAlignment="1">
      <alignment horizontal="center" vertical="center" wrapText="1"/>
    </xf>
    <xf numFmtId="165" fontId="0" fillId="0" borderId="7" xfId="0" applyNumberFormat="1" applyBorder="1" applyAlignment="1">
      <alignment horizontal="center" vertical="center"/>
    </xf>
    <xf numFmtId="43" fontId="8" fillId="0" borderId="1" xfId="1" applyNumberFormat="1" applyFont="1" applyBorder="1" applyAlignment="1">
      <alignment horizontal="center" vertical="center"/>
    </xf>
    <xf numFmtId="1"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165" fontId="13" fillId="0" borderId="0" xfId="0" applyNumberFormat="1" applyFont="1"/>
    <xf numFmtId="165" fontId="13" fillId="0" borderId="1" xfId="0" applyNumberFormat="1" applyFont="1" applyBorder="1" applyAlignment="1">
      <alignment horizontal="center" vertical="center"/>
    </xf>
    <xf numFmtId="165" fontId="8" fillId="0" borderId="1" xfId="0" applyNumberFormat="1" applyFont="1" applyBorder="1" applyAlignment="1">
      <alignment horizontal="center" vertical="center"/>
    </xf>
    <xf numFmtId="165" fontId="8" fillId="0" borderId="1" xfId="0" applyNumberFormat="1" applyFont="1" applyBorder="1"/>
    <xf numFmtId="1" fontId="0" fillId="0" borderId="1" xfId="0" applyNumberFormat="1" applyFont="1" applyBorder="1" applyAlignment="1">
      <alignment horizontal="center" vertical="center"/>
    </xf>
    <xf numFmtId="9" fontId="0" fillId="0" borderId="1" xfId="0" applyNumberFormat="1" applyFont="1" applyBorder="1" applyAlignment="1">
      <alignment horizontal="center" vertical="center"/>
    </xf>
    <xf numFmtId="164" fontId="0" fillId="0" borderId="1" xfId="0" applyNumberFormat="1" applyFont="1" applyBorder="1" applyAlignment="1">
      <alignment horizontal="center" vertical="center"/>
    </xf>
    <xf numFmtId="0" fontId="0" fillId="0" borderId="1" xfId="0" applyBorder="1" applyAlignment="1">
      <alignment horizontal="center" vertical="center" wrapText="1"/>
    </xf>
    <xf numFmtId="166" fontId="0" fillId="0" borderId="0" xfId="1" applyNumberFormat="1" applyFont="1" applyAlignment="1">
      <alignment horizontal="center" vertical="center"/>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0" borderId="2" xfId="0" applyFont="1" applyBorder="1" applyAlignment="1">
      <alignment horizontal="right" vertical="center" wrapText="1"/>
    </xf>
    <xf numFmtId="0" fontId="2" fillId="0" borderId="3" xfId="0" applyFont="1" applyBorder="1" applyAlignment="1">
      <alignment horizontal="right" vertical="center" wrapText="1"/>
    </xf>
    <xf numFmtId="0" fontId="2" fillId="0" borderId="7" xfId="0" applyFont="1" applyBorder="1" applyAlignment="1">
      <alignment horizontal="right" vertical="center" wrapText="1"/>
    </xf>
    <xf numFmtId="10" fontId="2" fillId="0" borderId="5" xfId="0" applyNumberFormat="1" applyFont="1" applyBorder="1" applyAlignment="1">
      <alignment horizontal="center" vertical="center" wrapText="1"/>
    </xf>
    <xf numFmtId="10" fontId="2" fillId="0" borderId="6"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3" fillId="6" borderId="1" xfId="0" applyFont="1" applyFill="1" applyBorder="1" applyAlignment="1">
      <alignment horizontal="center"/>
    </xf>
    <xf numFmtId="0" fontId="13" fillId="6" borderId="1" xfId="0" applyFont="1" applyFill="1" applyBorder="1" applyAlignment="1">
      <alignment horizontal="center"/>
    </xf>
    <xf numFmtId="165" fontId="8" fillId="0" borderId="1" xfId="0" applyNumberFormat="1" applyFont="1" applyBorder="1" applyAlignment="1">
      <alignment horizontal="center" vertical="center"/>
    </xf>
    <xf numFmtId="165" fontId="13" fillId="0" borderId="1" xfId="0" applyNumberFormat="1" applyFont="1" applyBorder="1" applyAlignment="1">
      <alignment horizontal="center" vertical="center"/>
    </xf>
    <xf numFmtId="0" fontId="8" fillId="3" borderId="2" xfId="0" applyFont="1" applyFill="1" applyBorder="1" applyAlignment="1">
      <alignment horizontal="right" vertical="center"/>
    </xf>
    <xf numFmtId="0" fontId="8" fillId="3" borderId="3" xfId="0" applyFont="1" applyFill="1" applyBorder="1" applyAlignment="1">
      <alignment horizontal="right" vertical="center"/>
    </xf>
    <xf numFmtId="0" fontId="8" fillId="3" borderId="7" xfId="0" applyFont="1" applyFill="1" applyBorder="1" applyAlignment="1">
      <alignment horizontal="right" vertical="center"/>
    </xf>
    <xf numFmtId="0" fontId="8" fillId="3" borderId="2" xfId="0" applyFont="1" applyFill="1" applyBorder="1" applyAlignment="1">
      <alignment horizontal="right" vertical="center" wrapText="1"/>
    </xf>
    <xf numFmtId="0" fontId="8" fillId="3" borderId="3" xfId="0" applyFont="1" applyFill="1" applyBorder="1" applyAlignment="1">
      <alignment horizontal="right" vertical="center" wrapText="1"/>
    </xf>
    <xf numFmtId="0" fontId="8" fillId="3" borderId="7" xfId="0" applyFont="1" applyFill="1" applyBorder="1" applyAlignment="1">
      <alignment horizontal="right" vertical="center" wrapText="1"/>
    </xf>
    <xf numFmtId="0" fontId="10" fillId="0" borderId="1" xfId="0" applyFont="1" applyBorder="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1" xfId="0" applyFont="1" applyBorder="1" applyAlignment="1">
      <alignment horizontal="center" vertical="center"/>
    </xf>
    <xf numFmtId="0" fontId="9" fillId="0" borderId="1" xfId="0" applyFont="1" applyBorder="1" applyAlignment="1">
      <alignment horizontal="left" vertical="center"/>
    </xf>
    <xf numFmtId="0" fontId="10" fillId="0" borderId="1" xfId="0" applyFont="1" applyBorder="1" applyAlignment="1">
      <alignment horizontal="left"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166" fontId="0" fillId="0" borderId="0" xfId="0" applyNumberFormat="1"/>
    <xf numFmtId="0" fontId="0" fillId="0" borderId="0" xfId="0" applyAlignment="1">
      <alignment vertical="center"/>
    </xf>
    <xf numFmtId="0" fontId="0" fillId="0" borderId="1" xfId="0" applyBorder="1" applyAlignment="1">
      <alignment vertical="center"/>
    </xf>
    <xf numFmtId="0" fontId="0" fillId="0" borderId="1" xfId="0" applyBorder="1"/>
    <xf numFmtId="166" fontId="0" fillId="0" borderId="1" xfId="1" applyNumberFormat="1" applyFont="1" applyBorder="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429924</xdr:colOff>
      <xdr:row>24</xdr:row>
      <xdr:rowOff>173174</xdr:rowOff>
    </xdr:from>
    <xdr:to>
      <xdr:col>16</xdr:col>
      <xdr:colOff>40823</xdr:colOff>
      <xdr:row>56</xdr:row>
      <xdr:rowOff>142645</xdr:rowOff>
    </xdr:to>
    <xdr:pic>
      <xdr:nvPicPr>
        <xdr:cNvPr id="2" name="Picture 1"/>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tretch>
          <a:fillRect/>
        </a:stretch>
      </xdr:blipFill>
      <xdr:spPr>
        <a:xfrm>
          <a:off x="12064031" y="4908460"/>
          <a:ext cx="9149506" cy="6446471"/>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0"/>
  <sheetViews>
    <sheetView tabSelected="1" zoomScale="70" zoomScaleNormal="70" workbookViewId="0">
      <selection activeCell="E7" sqref="E7"/>
    </sheetView>
  </sheetViews>
  <sheetFormatPr defaultRowHeight="15" x14ac:dyDescent="0.25"/>
  <cols>
    <col min="1" max="1" width="17.28515625" bestFit="1" customWidth="1"/>
    <col min="2" max="2" width="36.7109375" bestFit="1" customWidth="1"/>
    <col min="3" max="3" width="19.28515625" bestFit="1" customWidth="1"/>
    <col min="4" max="4" width="17.28515625" bestFit="1" customWidth="1"/>
    <col min="5" max="5" width="27.42578125" bestFit="1" customWidth="1"/>
    <col min="6" max="6" width="19.85546875" bestFit="1" customWidth="1"/>
    <col min="7" max="7" width="19.5703125" customWidth="1"/>
    <col min="8" max="8" width="17" bestFit="1" customWidth="1"/>
    <col min="9" max="9" width="17.42578125" bestFit="1" customWidth="1"/>
    <col min="10" max="10" width="24.140625" bestFit="1" customWidth="1"/>
    <col min="11" max="11" width="12.42578125" bestFit="1" customWidth="1"/>
    <col min="12" max="12" width="17.7109375" bestFit="1" customWidth="1"/>
    <col min="13" max="13" width="17.5703125" bestFit="1" customWidth="1"/>
    <col min="14" max="14" width="35.42578125" bestFit="1" customWidth="1"/>
  </cols>
  <sheetData>
    <row r="2" spans="2:15" x14ac:dyDescent="0.25">
      <c r="C2" s="48" t="s">
        <v>19</v>
      </c>
      <c r="D2" s="49"/>
      <c r="E2" s="50"/>
    </row>
    <row r="3" spans="2:15" x14ac:dyDescent="0.25">
      <c r="C3" s="51"/>
      <c r="D3" s="52"/>
      <c r="E3" s="53"/>
    </row>
    <row r="4" spans="2:15" ht="56.25" x14ac:dyDescent="0.25">
      <c r="B4" s="61" t="s">
        <v>3</v>
      </c>
      <c r="C4" s="12" t="s">
        <v>0</v>
      </c>
      <c r="D4" s="12" t="s">
        <v>1</v>
      </c>
      <c r="E4" s="12" t="s">
        <v>2</v>
      </c>
      <c r="G4" s="21" t="s">
        <v>33</v>
      </c>
      <c r="H4" s="9">
        <f>F22</f>
        <v>32400000</v>
      </c>
      <c r="J4" s="62" t="s">
        <v>2</v>
      </c>
      <c r="K4" s="62"/>
      <c r="L4" s="7" t="s">
        <v>20</v>
      </c>
      <c r="M4" s="7" t="s">
        <v>4</v>
      </c>
      <c r="N4" s="7" t="s">
        <v>5</v>
      </c>
    </row>
    <row r="5" spans="2:15" x14ac:dyDescent="0.25">
      <c r="B5" s="61"/>
      <c r="C5" s="14">
        <v>9110</v>
      </c>
      <c r="D5" s="9">
        <v>8500</v>
      </c>
      <c r="E5" s="9">
        <f>C5*D5</f>
        <v>77435000</v>
      </c>
      <c r="G5" s="22" t="s">
        <v>32</v>
      </c>
      <c r="H5" s="9">
        <f>'Building Valuation'!T7</f>
        <v>7418479.9103999995</v>
      </c>
      <c r="J5" s="62"/>
      <c r="K5" s="62"/>
      <c r="L5" s="11">
        <f>H4+H5+H6</f>
        <v>41784337.053257145</v>
      </c>
      <c r="M5" s="59" t="s">
        <v>61</v>
      </c>
      <c r="N5" s="60"/>
    </row>
    <row r="6" spans="2:15" x14ac:dyDescent="0.25">
      <c r="B6" s="24" t="s">
        <v>6</v>
      </c>
      <c r="C6" s="14">
        <v>1256</v>
      </c>
      <c r="D6" s="9">
        <v>8000</v>
      </c>
      <c r="E6" s="9">
        <f>C6*D6</f>
        <v>10048000</v>
      </c>
      <c r="G6" s="22" t="s">
        <v>70</v>
      </c>
      <c r="H6" s="9">
        <f>'Wall Valuation'!N4</f>
        <v>1965857.1428571432</v>
      </c>
      <c r="J6" s="62"/>
      <c r="K6" s="62"/>
      <c r="L6" s="11">
        <v>41800000</v>
      </c>
      <c r="M6" s="13">
        <f>L6*0.85</f>
        <v>35530000</v>
      </c>
      <c r="N6" s="13">
        <f>L6*0.75</f>
        <v>31350000</v>
      </c>
    </row>
    <row r="7" spans="2:15" ht="15.75" thickBot="1" x14ac:dyDescent="0.3">
      <c r="B7" s="54" t="s">
        <v>28</v>
      </c>
      <c r="C7" s="55"/>
      <c r="D7" s="56"/>
      <c r="E7" s="18">
        <f>SUM(E5:E6)</f>
        <v>87483000</v>
      </c>
      <c r="G7" s="2" t="s">
        <v>34</v>
      </c>
      <c r="H7" s="9">
        <f>SUM(H4:H6)</f>
        <v>41784337.053257145</v>
      </c>
    </row>
    <row r="8" spans="2:15" x14ac:dyDescent="0.25">
      <c r="F8" s="57">
        <f>(E7-L6)/E7</f>
        <v>0.5221928831887338</v>
      </c>
    </row>
    <row r="9" spans="2:15" ht="15.75" thickBot="1" x14ac:dyDescent="0.3">
      <c r="F9" s="58"/>
    </row>
    <row r="10" spans="2:15" x14ac:dyDescent="0.25">
      <c r="H10" s="1"/>
    </row>
    <row r="11" spans="2:15" x14ac:dyDescent="0.25">
      <c r="O11" s="5"/>
    </row>
    <row r="14" spans="2:15" ht="15.75" x14ac:dyDescent="0.25">
      <c r="B14" s="63" t="s">
        <v>35</v>
      </c>
      <c r="C14" s="64"/>
      <c r="D14" s="64"/>
      <c r="E14" s="64"/>
      <c r="F14" s="64"/>
    </row>
    <row r="15" spans="2:15" ht="15.75" x14ac:dyDescent="0.25">
      <c r="B15" s="15" t="s">
        <v>21</v>
      </c>
      <c r="C15" s="16" t="s">
        <v>22</v>
      </c>
      <c r="D15" s="16" t="s">
        <v>23</v>
      </c>
      <c r="E15" s="16" t="s">
        <v>24</v>
      </c>
      <c r="F15" s="16" t="s">
        <v>25</v>
      </c>
    </row>
    <row r="16" spans="2:15" ht="15.75" x14ac:dyDescent="0.25">
      <c r="B16" s="17" t="s">
        <v>29</v>
      </c>
      <c r="C16" s="36">
        <v>10895.47</v>
      </c>
      <c r="D16" s="37">
        <f>C16*0.25</f>
        <v>2723.8674999999998</v>
      </c>
      <c r="E16" s="37">
        <f>C16*0.4</f>
        <v>4358.1880000000001</v>
      </c>
      <c r="F16" s="37">
        <f>C16*0.35</f>
        <v>3813.4144999999994</v>
      </c>
    </row>
    <row r="17" spans="1:6" ht="15.75" x14ac:dyDescent="0.25">
      <c r="B17" s="17" t="s">
        <v>30</v>
      </c>
      <c r="C17" s="38"/>
      <c r="D17" s="39">
        <f>E40</f>
        <v>5250</v>
      </c>
      <c r="E17" s="40">
        <f>D17*0.75</f>
        <v>3937.5</v>
      </c>
      <c r="F17" s="40">
        <f>D17*0.6</f>
        <v>3150</v>
      </c>
    </row>
    <row r="18" spans="1:6" ht="15.75" x14ac:dyDescent="0.25">
      <c r="B18" s="17" t="s">
        <v>26</v>
      </c>
      <c r="C18" s="38"/>
      <c r="D18" s="40">
        <f>E32*D16</f>
        <v>3209211.7471294082</v>
      </c>
      <c r="E18" s="40">
        <f t="shared" ref="E18:F18" si="0">E17*E16</f>
        <v>17160365.25</v>
      </c>
      <c r="F18" s="40">
        <f t="shared" si="0"/>
        <v>12012255.674999999</v>
      </c>
    </row>
    <row r="19" spans="1:6" ht="15.75" x14ac:dyDescent="0.25">
      <c r="B19" s="17" t="s">
        <v>27</v>
      </c>
      <c r="C19" s="38"/>
      <c r="D19" s="65">
        <f>SUM(D18:F18)</f>
        <v>32381832.672129408</v>
      </c>
      <c r="E19" s="65"/>
      <c r="F19" s="65"/>
    </row>
    <row r="20" spans="1:6" ht="15.75" x14ac:dyDescent="0.25">
      <c r="B20" s="17" t="s">
        <v>31</v>
      </c>
      <c r="C20" s="38"/>
      <c r="D20" s="66">
        <f>D19/C16</f>
        <v>2972.0455080991833</v>
      </c>
      <c r="E20" s="66"/>
      <c r="F20" s="66"/>
    </row>
    <row r="21" spans="1:6" ht="15.75" x14ac:dyDescent="0.25">
      <c r="B21" s="67" t="s">
        <v>55</v>
      </c>
      <c r="C21" s="68"/>
      <c r="D21" s="68"/>
      <c r="E21" s="69"/>
      <c r="F21" s="42">
        <f>D19</f>
        <v>32381832.672129408</v>
      </c>
    </row>
    <row r="22" spans="1:6" ht="15.75" x14ac:dyDescent="0.25">
      <c r="B22" s="70" t="s">
        <v>56</v>
      </c>
      <c r="C22" s="71"/>
      <c r="D22" s="71"/>
      <c r="E22" s="72"/>
      <c r="F22" s="41">
        <v>32400000</v>
      </c>
    </row>
    <row r="30" spans="1:6" x14ac:dyDescent="0.25">
      <c r="C30" s="61" t="s">
        <v>69</v>
      </c>
      <c r="D30" s="61"/>
      <c r="E30" s="61"/>
    </row>
    <row r="31" spans="1:6" x14ac:dyDescent="0.25">
      <c r="C31" t="s">
        <v>63</v>
      </c>
    </row>
    <row r="32" spans="1:6" x14ac:dyDescent="0.25">
      <c r="A32" s="83" t="s">
        <v>66</v>
      </c>
      <c r="B32">
        <v>6111.11</v>
      </c>
      <c r="C32" s="20">
        <f>B33/B32</f>
        <v>981.81836033061097</v>
      </c>
      <c r="D32" s="2">
        <v>1.2</v>
      </c>
      <c r="E32" s="20">
        <f>C32*D32</f>
        <v>1178.1820323967331</v>
      </c>
    </row>
    <row r="33" spans="1:6" ht="30" x14ac:dyDescent="0.25">
      <c r="A33" s="83" t="s">
        <v>62</v>
      </c>
      <c r="B33" s="47">
        <v>6000000</v>
      </c>
      <c r="C33" s="2" t="s">
        <v>52</v>
      </c>
      <c r="D33" s="46" t="s">
        <v>54</v>
      </c>
      <c r="E33" s="35">
        <v>1200</v>
      </c>
      <c r="F33" s="34" t="s">
        <v>53</v>
      </c>
    </row>
    <row r="34" spans="1:6" x14ac:dyDescent="0.25">
      <c r="A34" s="83"/>
      <c r="D34" s="46"/>
    </row>
    <row r="37" spans="1:6" x14ac:dyDescent="0.25">
      <c r="B37" s="82"/>
    </row>
    <row r="38" spans="1:6" x14ac:dyDescent="0.25">
      <c r="C38" s="61" t="s">
        <v>68</v>
      </c>
      <c r="D38" s="61"/>
      <c r="E38" s="61"/>
    </row>
    <row r="39" spans="1:6" x14ac:dyDescent="0.25">
      <c r="A39" s="84" t="s">
        <v>66</v>
      </c>
      <c r="B39" s="85">
        <v>2500</v>
      </c>
      <c r="C39" s="20">
        <f>B40/B39</f>
        <v>5840</v>
      </c>
      <c r="D39" s="2">
        <v>0.9</v>
      </c>
      <c r="E39" s="20">
        <f>C39*D39</f>
        <v>5256</v>
      </c>
    </row>
    <row r="40" spans="1:6" ht="30" x14ac:dyDescent="0.25">
      <c r="A40" s="84" t="s">
        <v>62</v>
      </c>
      <c r="B40" s="86">
        <v>14600000</v>
      </c>
      <c r="C40" s="2" t="s">
        <v>52</v>
      </c>
      <c r="D40" s="46" t="s">
        <v>67</v>
      </c>
      <c r="E40" s="35">
        <v>5250</v>
      </c>
      <c r="F40" s="34" t="s">
        <v>53</v>
      </c>
    </row>
  </sheetData>
  <mergeCells count="13">
    <mergeCell ref="C30:E30"/>
    <mergeCell ref="C38:E38"/>
    <mergeCell ref="B14:F14"/>
    <mergeCell ref="D19:F19"/>
    <mergeCell ref="D20:F20"/>
    <mergeCell ref="B21:E21"/>
    <mergeCell ref="B22:E22"/>
    <mergeCell ref="C2:E3"/>
    <mergeCell ref="B7:D7"/>
    <mergeCell ref="F8:F9"/>
    <mergeCell ref="M5:N5"/>
    <mergeCell ref="B4:B5"/>
    <mergeCell ref="J4:K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
  <sheetViews>
    <sheetView zoomScale="85" zoomScaleNormal="85" workbookViewId="0">
      <selection activeCell="B2" sqref="B2:T11"/>
    </sheetView>
  </sheetViews>
  <sheetFormatPr defaultRowHeight="15" x14ac:dyDescent="0.25"/>
  <cols>
    <col min="2" max="2" width="4.85546875" bestFit="1" customWidth="1"/>
    <col min="3" max="3" width="7.140625" bestFit="1" customWidth="1"/>
    <col min="4" max="4" width="13.5703125" bestFit="1" customWidth="1"/>
    <col min="5" max="5" width="26.7109375" customWidth="1"/>
    <col min="6" max="6" width="10.28515625" bestFit="1" customWidth="1"/>
    <col min="7" max="7" width="7.5703125" customWidth="1"/>
    <col min="8" max="8" width="12.5703125" customWidth="1"/>
    <col min="9" max="9" width="11.42578125" bestFit="1" customWidth="1"/>
    <col min="10" max="10" width="9.5703125" bestFit="1" customWidth="1"/>
    <col min="11" max="11" width="10.42578125" bestFit="1" customWidth="1"/>
    <col min="12" max="12" width="10.42578125" customWidth="1"/>
    <col min="13" max="13" width="10.85546875" hidden="1" customWidth="1"/>
    <col min="14" max="14" width="11.7109375" hidden="1" customWidth="1"/>
    <col min="15" max="15" width="14.28515625" customWidth="1"/>
    <col min="16" max="16" width="13.42578125" bestFit="1" customWidth="1"/>
    <col min="17" max="17" width="14.28515625" hidden="1" customWidth="1"/>
    <col min="18" max="18" width="23.140625" hidden="1" customWidth="1"/>
    <col min="19" max="19" width="14.42578125" hidden="1" customWidth="1"/>
    <col min="20" max="20" width="14" customWidth="1"/>
  </cols>
  <sheetData>
    <row r="2" spans="2:20" ht="15.75" x14ac:dyDescent="0.25">
      <c r="B2" s="74" t="s">
        <v>65</v>
      </c>
      <c r="C2" s="75"/>
      <c r="D2" s="75"/>
      <c r="E2" s="75"/>
      <c r="F2" s="75"/>
      <c r="G2" s="75"/>
      <c r="H2" s="75"/>
      <c r="I2" s="75"/>
      <c r="J2" s="75"/>
      <c r="K2" s="75"/>
      <c r="L2" s="75"/>
      <c r="M2" s="75"/>
      <c r="N2" s="75"/>
      <c r="O2" s="75"/>
      <c r="P2" s="75"/>
      <c r="Q2" s="75"/>
      <c r="R2" s="75"/>
      <c r="S2" s="75"/>
      <c r="T2" s="76"/>
    </row>
    <row r="3" spans="2:20" ht="60" x14ac:dyDescent="0.25">
      <c r="B3" s="25" t="s">
        <v>36</v>
      </c>
      <c r="C3" s="6" t="s">
        <v>37</v>
      </c>
      <c r="D3" s="25" t="s">
        <v>38</v>
      </c>
      <c r="E3" s="6" t="s">
        <v>39</v>
      </c>
      <c r="F3" s="6" t="s">
        <v>43</v>
      </c>
      <c r="G3" s="6" t="s">
        <v>44</v>
      </c>
      <c r="H3" s="6" t="s">
        <v>40</v>
      </c>
      <c r="I3" s="6" t="s">
        <v>8</v>
      </c>
      <c r="J3" s="6" t="s">
        <v>9</v>
      </c>
      <c r="K3" s="6" t="s">
        <v>10</v>
      </c>
      <c r="L3" s="6" t="s">
        <v>11</v>
      </c>
      <c r="M3" s="6" t="s">
        <v>12</v>
      </c>
      <c r="N3" s="6" t="s">
        <v>13</v>
      </c>
      <c r="O3" s="6" t="s">
        <v>45</v>
      </c>
      <c r="P3" s="6" t="s">
        <v>14</v>
      </c>
      <c r="Q3" s="6" t="s">
        <v>15</v>
      </c>
      <c r="R3" s="6" t="s">
        <v>16</v>
      </c>
      <c r="S3" s="6" t="s">
        <v>17</v>
      </c>
      <c r="T3" s="6" t="s">
        <v>18</v>
      </c>
    </row>
    <row r="4" spans="2:20" ht="60" x14ac:dyDescent="0.25">
      <c r="B4" s="26">
        <v>1</v>
      </c>
      <c r="C4" s="23" t="s">
        <v>47</v>
      </c>
      <c r="D4" s="23" t="s">
        <v>41</v>
      </c>
      <c r="E4" s="23" t="s">
        <v>50</v>
      </c>
      <c r="F4" s="27">
        <f>412*F13</f>
        <v>4434.768</v>
      </c>
      <c r="G4" s="8">
        <v>10</v>
      </c>
      <c r="H4" s="27">
        <f>F4</f>
        <v>4434.768</v>
      </c>
      <c r="I4" s="28">
        <v>2014</v>
      </c>
      <c r="J4" s="28">
        <v>2022</v>
      </c>
      <c r="K4" s="8">
        <f>J4-I4</f>
        <v>8</v>
      </c>
      <c r="L4" s="8">
        <v>40</v>
      </c>
      <c r="M4" s="4">
        <v>0.1</v>
      </c>
      <c r="N4" s="29">
        <f>(1-M4)/L4</f>
        <v>2.2499999999999999E-2</v>
      </c>
      <c r="O4" s="30">
        <v>850</v>
      </c>
      <c r="P4" s="30">
        <f>O4*H4</f>
        <v>3769552.8</v>
      </c>
      <c r="Q4" s="30">
        <f>P4*N4*K4</f>
        <v>678519.50399999996</v>
      </c>
      <c r="R4" s="30">
        <f t="shared" ref="R4:R6" si="0">MAX(P4-Q4,0)</f>
        <v>3091033.2960000001</v>
      </c>
      <c r="S4" s="31">
        <v>0.2</v>
      </c>
      <c r="T4" s="30">
        <f>IF(R4&gt;M4*P4,R4*(1-S4),P4*M4)</f>
        <v>2472826.6368</v>
      </c>
    </row>
    <row r="5" spans="2:20" ht="60" x14ac:dyDescent="0.25">
      <c r="B5" s="26">
        <v>2</v>
      </c>
      <c r="C5" s="23" t="s">
        <v>48</v>
      </c>
      <c r="D5" s="23" t="s">
        <v>41</v>
      </c>
      <c r="E5" s="23" t="s">
        <v>50</v>
      </c>
      <c r="F5" s="27">
        <f>412*F13</f>
        <v>4434.768</v>
      </c>
      <c r="G5" s="8">
        <v>10</v>
      </c>
      <c r="H5" s="27">
        <f>F5</f>
        <v>4434.768</v>
      </c>
      <c r="I5" s="28">
        <v>2014</v>
      </c>
      <c r="J5" s="28">
        <v>2022</v>
      </c>
      <c r="K5" s="8">
        <f>J5-I5</f>
        <v>8</v>
      </c>
      <c r="L5" s="8">
        <v>40</v>
      </c>
      <c r="M5" s="4">
        <v>0.1</v>
      </c>
      <c r="N5" s="29">
        <f>(1-M5)/L5</f>
        <v>2.2499999999999999E-2</v>
      </c>
      <c r="O5" s="30">
        <v>850</v>
      </c>
      <c r="P5" s="30">
        <f>O5*H5</f>
        <v>3769552.8</v>
      </c>
      <c r="Q5" s="30">
        <f>P5*N5*K5</f>
        <v>678519.50399999996</v>
      </c>
      <c r="R5" s="30">
        <f t="shared" si="0"/>
        <v>3091033.2960000001</v>
      </c>
      <c r="S5" s="31">
        <v>0.2</v>
      </c>
      <c r="T5" s="30">
        <f>IF(R5&gt;M5*P5,R5*(1-S5),P5*M5)</f>
        <v>2472826.6368</v>
      </c>
    </row>
    <row r="6" spans="2:20" ht="60" x14ac:dyDescent="0.25">
      <c r="B6" s="26">
        <v>3</v>
      </c>
      <c r="C6" s="23" t="s">
        <v>49</v>
      </c>
      <c r="D6" s="23" t="s">
        <v>41</v>
      </c>
      <c r="E6" s="23" t="s">
        <v>50</v>
      </c>
      <c r="F6" s="27">
        <f>412*F13</f>
        <v>4434.768</v>
      </c>
      <c r="G6" s="8">
        <v>10</v>
      </c>
      <c r="H6" s="27">
        <f>F6</f>
        <v>4434.768</v>
      </c>
      <c r="I6" s="28">
        <v>2014</v>
      </c>
      <c r="J6" s="28">
        <v>2022</v>
      </c>
      <c r="K6" s="8">
        <f>J6-I6</f>
        <v>8</v>
      </c>
      <c r="L6" s="8">
        <v>40</v>
      </c>
      <c r="M6" s="4">
        <v>0.1</v>
      </c>
      <c r="N6" s="29">
        <f>(1-M6)/L6</f>
        <v>2.2499999999999999E-2</v>
      </c>
      <c r="O6" s="30">
        <v>850</v>
      </c>
      <c r="P6" s="30">
        <f>O6*H6</f>
        <v>3769552.8</v>
      </c>
      <c r="Q6" s="30">
        <f>P6*N6*K6</f>
        <v>678519.50399999996</v>
      </c>
      <c r="R6" s="30">
        <f t="shared" si="0"/>
        <v>3091033.2960000001</v>
      </c>
      <c r="S6" s="31">
        <v>0.2</v>
      </c>
      <c r="T6" s="30">
        <f>IF(R6&gt;M6*P6,R6*(1-S6),P6*M6)</f>
        <v>2472826.6368</v>
      </c>
    </row>
    <row r="7" spans="2:20" x14ac:dyDescent="0.25">
      <c r="B7" s="77" t="s">
        <v>28</v>
      </c>
      <c r="C7" s="77"/>
      <c r="D7" s="77"/>
      <c r="E7" s="77"/>
      <c r="F7" s="19">
        <f>SUM(F4:F6)</f>
        <v>13304.304</v>
      </c>
      <c r="G7" s="3"/>
      <c r="H7" s="19">
        <f>SUM(H4:H6)</f>
        <v>13304.304</v>
      </c>
      <c r="I7" s="77"/>
      <c r="J7" s="77"/>
      <c r="K7" s="77"/>
      <c r="L7" s="77"/>
      <c r="M7" s="77"/>
      <c r="N7" s="77"/>
      <c r="O7" s="77"/>
      <c r="P7" s="32">
        <f>SUM(P4:P6)</f>
        <v>11308658.399999999</v>
      </c>
      <c r="Q7" s="32"/>
      <c r="R7" s="32">
        <f>SUM(R4:R6)</f>
        <v>9273099.8880000003</v>
      </c>
      <c r="S7" s="33"/>
      <c r="T7" s="32">
        <f>SUM(T4:T6)</f>
        <v>7418479.9103999995</v>
      </c>
    </row>
    <row r="8" spans="2:20" x14ac:dyDescent="0.25">
      <c r="B8" s="78" t="s">
        <v>42</v>
      </c>
      <c r="C8" s="78"/>
      <c r="D8" s="78"/>
      <c r="E8" s="78"/>
      <c r="F8" s="78"/>
      <c r="G8" s="78"/>
      <c r="H8" s="78"/>
      <c r="I8" s="78"/>
      <c r="J8" s="78"/>
      <c r="K8" s="78"/>
      <c r="L8" s="78"/>
      <c r="M8" s="78"/>
      <c r="N8" s="78"/>
      <c r="O8" s="78"/>
      <c r="P8" s="78"/>
      <c r="Q8" s="78"/>
      <c r="R8" s="78"/>
      <c r="S8" s="78"/>
      <c r="T8" s="78"/>
    </row>
    <row r="9" spans="2:20" x14ac:dyDescent="0.25">
      <c r="B9" s="79" t="s">
        <v>64</v>
      </c>
      <c r="C9" s="79"/>
      <c r="D9" s="79"/>
      <c r="E9" s="79"/>
      <c r="F9" s="79"/>
      <c r="G9" s="79"/>
      <c r="H9" s="79"/>
      <c r="I9" s="79"/>
      <c r="J9" s="79"/>
      <c r="K9" s="79"/>
      <c r="L9" s="79"/>
      <c r="M9" s="79"/>
      <c r="N9" s="79"/>
      <c r="O9" s="79"/>
      <c r="P9" s="79"/>
      <c r="Q9" s="79"/>
      <c r="R9" s="79"/>
      <c r="S9" s="79"/>
      <c r="T9" s="79"/>
    </row>
    <row r="10" spans="2:20" x14ac:dyDescent="0.25">
      <c r="B10" s="79" t="s">
        <v>51</v>
      </c>
      <c r="C10" s="73"/>
      <c r="D10" s="73"/>
      <c r="E10" s="73"/>
      <c r="F10" s="73"/>
      <c r="G10" s="73"/>
      <c r="H10" s="73"/>
      <c r="I10" s="73"/>
      <c r="J10" s="73"/>
      <c r="K10" s="73"/>
      <c r="L10" s="73"/>
      <c r="M10" s="73"/>
      <c r="N10" s="73"/>
      <c r="O10" s="73"/>
      <c r="P10" s="73"/>
      <c r="Q10" s="73"/>
      <c r="R10" s="73"/>
      <c r="S10" s="73"/>
      <c r="T10" s="73"/>
    </row>
    <row r="11" spans="2:20" x14ac:dyDescent="0.25">
      <c r="B11" s="73" t="s">
        <v>46</v>
      </c>
      <c r="C11" s="73"/>
      <c r="D11" s="73"/>
      <c r="E11" s="73"/>
      <c r="F11" s="73"/>
      <c r="G11" s="73"/>
      <c r="H11" s="73"/>
      <c r="I11" s="73"/>
      <c r="J11" s="73"/>
      <c r="K11" s="73"/>
      <c r="L11" s="73"/>
      <c r="M11" s="73"/>
      <c r="N11" s="73"/>
      <c r="O11" s="73"/>
      <c r="P11" s="73"/>
      <c r="Q11" s="73"/>
      <c r="R11" s="73"/>
      <c r="S11" s="73"/>
      <c r="T11" s="73"/>
    </row>
    <row r="13" spans="2:20" x14ac:dyDescent="0.25">
      <c r="F13">
        <v>10.763999999999999</v>
      </c>
    </row>
  </sheetData>
  <mergeCells count="7">
    <mergeCell ref="B11:T11"/>
    <mergeCell ref="B2:T2"/>
    <mergeCell ref="B7:E7"/>
    <mergeCell ref="I7:O7"/>
    <mergeCell ref="B8:T8"/>
    <mergeCell ref="B9:T9"/>
    <mergeCell ref="B10:T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
  <sheetViews>
    <sheetView workbookViewId="0">
      <selection activeCell="N4" sqref="N4"/>
    </sheetView>
  </sheetViews>
  <sheetFormatPr defaultColWidth="13.28515625" defaultRowHeight="15" x14ac:dyDescent="0.25"/>
  <cols>
    <col min="2" max="2" width="11.5703125" bestFit="1" customWidth="1"/>
    <col min="3" max="3" width="12.28515625" bestFit="1" customWidth="1"/>
    <col min="4" max="4" width="9.5703125" bestFit="1" customWidth="1"/>
    <col min="5" max="5" width="10.42578125" bestFit="1" customWidth="1"/>
    <col min="6" max="6" width="11" bestFit="1" customWidth="1"/>
    <col min="7" max="7" width="13.140625" bestFit="1" customWidth="1"/>
    <col min="8" max="8" width="12.42578125" bestFit="1" customWidth="1"/>
    <col min="10" max="10" width="12.7109375" bestFit="1" customWidth="1"/>
    <col min="11" max="11" width="12.42578125" bestFit="1" customWidth="1"/>
    <col min="12" max="12" width="11.85546875" bestFit="1" customWidth="1"/>
    <col min="13" max="13" width="11.42578125" bestFit="1" customWidth="1"/>
    <col min="14" max="14" width="13.140625" bestFit="1" customWidth="1"/>
  </cols>
  <sheetData>
    <row r="2" spans="2:14" x14ac:dyDescent="0.25">
      <c r="B2" s="80" t="s">
        <v>7</v>
      </c>
      <c r="C2" s="81"/>
      <c r="D2" s="81"/>
      <c r="E2" s="81"/>
      <c r="F2" s="81"/>
      <c r="G2" s="81"/>
      <c r="H2" s="81"/>
      <c r="I2" s="81"/>
      <c r="J2" s="81"/>
      <c r="K2" s="81"/>
      <c r="L2" s="81"/>
      <c r="M2" s="81"/>
      <c r="N2" s="81"/>
    </row>
    <row r="3" spans="2:14" ht="60" x14ac:dyDescent="0.25">
      <c r="B3" s="6" t="s">
        <v>57</v>
      </c>
      <c r="C3" s="6" t="s">
        <v>8</v>
      </c>
      <c r="D3" s="6" t="s">
        <v>9</v>
      </c>
      <c r="E3" s="6" t="s">
        <v>58</v>
      </c>
      <c r="F3" s="6" t="s">
        <v>59</v>
      </c>
      <c r="G3" s="6" t="s">
        <v>12</v>
      </c>
      <c r="H3" s="6" t="s">
        <v>13</v>
      </c>
      <c r="I3" s="6" t="s">
        <v>60</v>
      </c>
      <c r="J3" s="6" t="s">
        <v>14</v>
      </c>
      <c r="K3" s="6" t="s">
        <v>15</v>
      </c>
      <c r="L3" s="6" t="s">
        <v>16</v>
      </c>
      <c r="M3" s="6" t="s">
        <v>17</v>
      </c>
      <c r="N3" s="6" t="s">
        <v>18</v>
      </c>
    </row>
    <row r="4" spans="2:14" x14ac:dyDescent="0.25">
      <c r="B4" s="43">
        <v>550</v>
      </c>
      <c r="C4" s="21">
        <v>2014</v>
      </c>
      <c r="D4" s="21">
        <v>2022</v>
      </c>
      <c r="E4" s="21">
        <f>D4-C4</f>
        <v>8</v>
      </c>
      <c r="F4" s="21">
        <v>35</v>
      </c>
      <c r="G4" s="44">
        <v>0.1</v>
      </c>
      <c r="H4" s="45">
        <f>(1-G4)/F4</f>
        <v>2.5714285714285714E-2</v>
      </c>
      <c r="I4" s="9">
        <v>5000</v>
      </c>
      <c r="J4" s="9">
        <f>I4*B4</f>
        <v>2750000</v>
      </c>
      <c r="K4" s="9">
        <f>J4*H4*E4</f>
        <v>565714.28571428568</v>
      </c>
      <c r="L4" s="9">
        <f>MAX(J4-K4,0)</f>
        <v>2184285.7142857146</v>
      </c>
      <c r="M4" s="10">
        <v>0.1</v>
      </c>
      <c r="N4" s="9">
        <f>IF(L4&gt;G4*J4,L4*(1-M4),J4*G4)</f>
        <v>1965857.1428571432</v>
      </c>
    </row>
  </sheetData>
  <mergeCells count="1">
    <mergeCell ref="B2:N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Land Valuation</vt:lpstr>
      <vt:lpstr>Building Valuation</vt:lpstr>
      <vt:lpstr>Wall Valuation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 Tomar</dc:creator>
  <cp:lastModifiedBy>Arun Tomar</cp:lastModifiedBy>
  <dcterms:created xsi:type="dcterms:W3CDTF">2022-10-03T11:21:19Z</dcterms:created>
  <dcterms:modified xsi:type="dcterms:W3CDTF">2022-10-12T06:43:43Z</dcterms:modified>
</cp:coreProperties>
</file>