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Historical Analysis" sheetId="1" r:id="rId1"/>
    <sheet name="Projected P&amp;L" sheetId="3" r:id="rId2"/>
    <sheet name="Revenue &amp; Cost" sheetId="6" r:id="rId3"/>
    <sheet name="DCF" sheetId="8" r:id="rId4"/>
    <sheet name="Tax Rate" sheetId="11" r:id="rId5"/>
    <sheet name="WACC" sheetId="12" r:id="rId6"/>
  </sheets>
  <calcPr calcId="152511"/>
</workbook>
</file>

<file path=xl/calcChain.xml><?xml version="1.0" encoding="utf-8"?>
<calcChain xmlns="http://schemas.openxmlformats.org/spreadsheetml/2006/main">
  <c r="F22" i="12" l="1"/>
  <c r="C20" i="8" l="1"/>
  <c r="H18" i="6"/>
  <c r="F15" i="6"/>
  <c r="S18" i="6" s="1"/>
  <c r="P18" i="6" l="1"/>
  <c r="L18" i="6"/>
  <c r="D18" i="6"/>
  <c r="I18" i="6"/>
  <c r="U18" i="6"/>
  <c r="F18" i="6"/>
  <c r="J18" i="6"/>
  <c r="N18" i="6"/>
  <c r="R18" i="6"/>
  <c r="V18" i="6"/>
  <c r="T18" i="6"/>
  <c r="E18" i="6"/>
  <c r="M18" i="6"/>
  <c r="Q18" i="6"/>
  <c r="C18" i="6"/>
  <c r="G18" i="6"/>
  <c r="K18" i="6"/>
  <c r="O18" i="6"/>
  <c r="K15" i="12" l="1"/>
  <c r="J15" i="12"/>
  <c r="J41" i="12"/>
  <c r="J42" i="12"/>
  <c r="J43" i="12"/>
  <c r="J44" i="12"/>
  <c r="F8" i="12" l="1"/>
  <c r="F6" i="12"/>
  <c r="F32" i="12"/>
  <c r="F18" i="12"/>
  <c r="F17" i="12"/>
  <c r="F16" i="12"/>
  <c r="F14" i="12"/>
  <c r="C48" i="12" l="1"/>
  <c r="A41" i="12"/>
  <c r="A42" i="12" s="1"/>
  <c r="A43" i="12" s="1"/>
  <c r="A44" i="12" s="1"/>
  <c r="J40" i="12"/>
  <c r="J45" i="12" s="1"/>
  <c r="D13" i="8" l="1"/>
  <c r="E13" i="8"/>
  <c r="F13" i="8"/>
  <c r="C13" i="8"/>
  <c r="C11" i="11" l="1"/>
  <c r="A15" i="3" l="1"/>
  <c r="K41" i="12"/>
  <c r="K40" i="12"/>
  <c r="K45" i="12" s="1"/>
  <c r="C51" i="12" s="1"/>
  <c r="F30" i="12" s="1"/>
  <c r="F33" i="12" s="1"/>
  <c r="F9" i="12" s="1"/>
  <c r="K42" i="12"/>
  <c r="K44" i="12"/>
  <c r="K43" i="12"/>
  <c r="F23" i="12"/>
  <c r="F24" i="12" s="1"/>
  <c r="F25" i="12" s="1"/>
  <c r="F7" i="12" s="1"/>
  <c r="D3" i="6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C7" i="8"/>
  <c r="F10" i="12" l="1"/>
  <c r="L7" i="12" s="1"/>
  <c r="L8" i="12" s="1"/>
  <c r="D20" i="8"/>
  <c r="D35" i="6"/>
  <c r="E35" i="6"/>
  <c r="F35" i="6"/>
  <c r="G35" i="6"/>
  <c r="H35" i="6"/>
  <c r="H37" i="6" s="1"/>
  <c r="H16" i="8" s="1"/>
  <c r="I35" i="6"/>
  <c r="J35" i="6"/>
  <c r="K35" i="6"/>
  <c r="L35" i="6"/>
  <c r="L37" i="6" s="1"/>
  <c r="L16" i="8" s="1"/>
  <c r="M35" i="6"/>
  <c r="N35" i="6"/>
  <c r="O35" i="6"/>
  <c r="P35" i="6"/>
  <c r="Q35" i="6"/>
  <c r="R35" i="6"/>
  <c r="S35" i="6"/>
  <c r="T35" i="6"/>
  <c r="U35" i="6"/>
  <c r="V35" i="6"/>
  <c r="V37" i="6" s="1"/>
  <c r="V16" i="8" s="1"/>
  <c r="C35" i="6"/>
  <c r="C37" i="6" s="1"/>
  <c r="C16" i="8" s="1"/>
  <c r="D6" i="8"/>
  <c r="E6" i="8" s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C21" i="8" l="1"/>
  <c r="C19" i="8"/>
  <c r="S37" i="6"/>
  <c r="S16" i="8" s="1"/>
  <c r="O37" i="6"/>
  <c r="O16" i="8" s="1"/>
  <c r="K37" i="6"/>
  <c r="K16" i="8" s="1"/>
  <c r="G37" i="6"/>
  <c r="G16" i="8" s="1"/>
  <c r="U37" i="6"/>
  <c r="U16" i="8" s="1"/>
  <c r="Q37" i="6"/>
  <c r="Q16" i="8" s="1"/>
  <c r="M37" i="6"/>
  <c r="M16" i="8" s="1"/>
  <c r="I37" i="6"/>
  <c r="I16" i="8" s="1"/>
  <c r="E37" i="6"/>
  <c r="E16" i="8" s="1"/>
  <c r="D21" i="8"/>
  <c r="T37" i="6"/>
  <c r="T16" i="8" s="1"/>
  <c r="P37" i="6"/>
  <c r="P16" i="8" s="1"/>
  <c r="D37" i="6"/>
  <c r="D16" i="8" s="1"/>
  <c r="R37" i="6"/>
  <c r="R16" i="8" s="1"/>
  <c r="N37" i="6"/>
  <c r="N16" i="8" s="1"/>
  <c r="J37" i="6"/>
  <c r="J16" i="8" s="1"/>
  <c r="F37" i="6"/>
  <c r="F16" i="8" s="1"/>
  <c r="E20" i="8"/>
  <c r="F20" i="8" l="1"/>
  <c r="E21" i="8"/>
  <c r="G20" i="8" l="1"/>
  <c r="F21" i="8"/>
  <c r="H20" i="8" l="1"/>
  <c r="G21" i="8"/>
  <c r="I20" i="8" l="1"/>
  <c r="H21" i="8"/>
  <c r="J20" i="8" l="1"/>
  <c r="I21" i="8"/>
  <c r="K20" i="8" l="1"/>
  <c r="J21" i="8"/>
  <c r="L20" i="8" l="1"/>
  <c r="K21" i="8"/>
  <c r="M20" i="8" l="1"/>
  <c r="L21" i="8"/>
  <c r="N20" i="8" l="1"/>
  <c r="M21" i="8"/>
  <c r="O20" i="8" l="1"/>
  <c r="N21" i="8"/>
  <c r="P20" i="8" l="1"/>
  <c r="O21" i="8"/>
  <c r="Q20" i="8" l="1"/>
  <c r="P21" i="8"/>
  <c r="R20" i="8" l="1"/>
  <c r="Q21" i="8"/>
  <c r="S20" i="8" l="1"/>
  <c r="R21" i="8"/>
  <c r="T20" i="8" l="1"/>
  <c r="S21" i="8"/>
  <c r="U20" i="8" l="1"/>
  <c r="T21" i="8"/>
  <c r="V20" i="8" l="1"/>
  <c r="V21" i="8" s="1"/>
  <c r="U21" i="8"/>
  <c r="E5" i="3" l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D5" i="3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V19" i="3" s="1"/>
  <c r="D28" i="6" l="1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C28" i="6"/>
  <c r="D23" i="6"/>
  <c r="D30" i="6" s="1"/>
  <c r="D13" i="3" s="1"/>
  <c r="E23" i="6"/>
  <c r="E30" i="6" s="1"/>
  <c r="E13" i="3" s="1"/>
  <c r="F23" i="6"/>
  <c r="F30" i="6" s="1"/>
  <c r="F13" i="3" s="1"/>
  <c r="G23" i="6"/>
  <c r="G30" i="6" s="1"/>
  <c r="G13" i="3" s="1"/>
  <c r="H23" i="6"/>
  <c r="H30" i="6" s="1"/>
  <c r="H13" i="3" s="1"/>
  <c r="I23" i="6"/>
  <c r="I30" i="6" s="1"/>
  <c r="I13" i="3" s="1"/>
  <c r="J23" i="6"/>
  <c r="J30" i="6" s="1"/>
  <c r="J13" i="3" s="1"/>
  <c r="K23" i="6"/>
  <c r="K30" i="6" s="1"/>
  <c r="K13" i="3" s="1"/>
  <c r="L23" i="6"/>
  <c r="L30" i="6" s="1"/>
  <c r="L13" i="3" s="1"/>
  <c r="M23" i="6"/>
  <c r="M30" i="6" s="1"/>
  <c r="M13" i="3" s="1"/>
  <c r="N23" i="6"/>
  <c r="N30" i="6" s="1"/>
  <c r="N13" i="3" s="1"/>
  <c r="O23" i="6"/>
  <c r="O30" i="6" s="1"/>
  <c r="O13" i="3" s="1"/>
  <c r="P23" i="6"/>
  <c r="P30" i="6" s="1"/>
  <c r="P13" i="3" s="1"/>
  <c r="Q23" i="6"/>
  <c r="Q30" i="6" s="1"/>
  <c r="Q13" i="3" s="1"/>
  <c r="R23" i="6"/>
  <c r="R30" i="6" s="1"/>
  <c r="R13" i="3" s="1"/>
  <c r="S23" i="6"/>
  <c r="S30" i="6" s="1"/>
  <c r="S13" i="3" s="1"/>
  <c r="T23" i="6"/>
  <c r="T30" i="6" s="1"/>
  <c r="T13" i="3" s="1"/>
  <c r="U23" i="6"/>
  <c r="U30" i="6" s="1"/>
  <c r="U13" i="3" s="1"/>
  <c r="V23" i="6"/>
  <c r="V30" i="6" s="1"/>
  <c r="V13" i="3" s="1"/>
  <c r="C23" i="6"/>
  <c r="C30" i="6" s="1"/>
  <c r="C13" i="3" s="1"/>
  <c r="D11" i="8"/>
  <c r="D15" i="8" s="1"/>
  <c r="E11" i="8"/>
  <c r="E15" i="8" s="1"/>
  <c r="F11" i="8"/>
  <c r="F15" i="8" s="1"/>
  <c r="G11" i="8"/>
  <c r="G15" i="8" s="1"/>
  <c r="H11" i="8"/>
  <c r="H15" i="8" s="1"/>
  <c r="I11" i="8"/>
  <c r="I15" i="8" s="1"/>
  <c r="J11" i="8"/>
  <c r="J15" i="8" s="1"/>
  <c r="K11" i="8"/>
  <c r="K15" i="8" s="1"/>
  <c r="L11" i="8"/>
  <c r="L15" i="8" s="1"/>
  <c r="M11" i="8"/>
  <c r="M15" i="8" s="1"/>
  <c r="N11" i="8"/>
  <c r="N15" i="8" s="1"/>
  <c r="O11" i="8"/>
  <c r="O15" i="8" s="1"/>
  <c r="P11" i="8"/>
  <c r="P15" i="8" s="1"/>
  <c r="Q11" i="8"/>
  <c r="Q15" i="8" s="1"/>
  <c r="R11" i="8"/>
  <c r="R15" i="8" s="1"/>
  <c r="S11" i="8"/>
  <c r="S15" i="8" s="1"/>
  <c r="T11" i="8"/>
  <c r="T15" i="8" s="1"/>
  <c r="U11" i="8"/>
  <c r="U15" i="8" s="1"/>
  <c r="V11" i="8"/>
  <c r="V15" i="8" s="1"/>
  <c r="C11" i="8"/>
  <c r="C15" i="8" s="1"/>
  <c r="D12" i="6"/>
  <c r="D9" i="8" s="1"/>
  <c r="E12" i="6"/>
  <c r="E9" i="8" s="1"/>
  <c r="F12" i="6"/>
  <c r="F9" i="8" s="1"/>
  <c r="G12" i="6"/>
  <c r="G9" i="8" s="1"/>
  <c r="H12" i="6"/>
  <c r="H9" i="8" s="1"/>
  <c r="I12" i="6"/>
  <c r="I9" i="8" s="1"/>
  <c r="J12" i="6"/>
  <c r="J9" i="8" s="1"/>
  <c r="K12" i="6"/>
  <c r="K9" i="8" s="1"/>
  <c r="L12" i="6"/>
  <c r="L9" i="8" s="1"/>
  <c r="M12" i="6"/>
  <c r="M9" i="8" s="1"/>
  <c r="N12" i="6"/>
  <c r="N9" i="8" s="1"/>
  <c r="O12" i="6"/>
  <c r="O9" i="8" s="1"/>
  <c r="P12" i="6"/>
  <c r="P9" i="8" s="1"/>
  <c r="Q12" i="6"/>
  <c r="Q9" i="8" s="1"/>
  <c r="R12" i="6"/>
  <c r="R9" i="8" s="1"/>
  <c r="S12" i="6"/>
  <c r="S9" i="8" s="1"/>
  <c r="T12" i="6"/>
  <c r="T9" i="8" s="1"/>
  <c r="U12" i="6"/>
  <c r="U9" i="8" s="1"/>
  <c r="V12" i="6"/>
  <c r="V9" i="8" s="1"/>
  <c r="C12" i="6"/>
  <c r="C9" i="8" s="1"/>
  <c r="D8" i="6"/>
  <c r="D8" i="8" s="1"/>
  <c r="D10" i="8" s="1"/>
  <c r="D12" i="8" s="1"/>
  <c r="D14" i="8" s="1"/>
  <c r="D18" i="8" s="1"/>
  <c r="D23" i="8" s="1"/>
  <c r="E8" i="6"/>
  <c r="E8" i="8" s="1"/>
  <c r="F8" i="6"/>
  <c r="F8" i="8" s="1"/>
  <c r="F10" i="8" s="1"/>
  <c r="F12" i="8" s="1"/>
  <c r="F14" i="8" s="1"/>
  <c r="F18" i="8" s="1"/>
  <c r="F23" i="8" s="1"/>
  <c r="G8" i="6"/>
  <c r="G8" i="8" s="1"/>
  <c r="G10" i="8" s="1"/>
  <c r="G12" i="8" s="1"/>
  <c r="H8" i="6"/>
  <c r="H8" i="8" s="1"/>
  <c r="H10" i="8" s="1"/>
  <c r="H12" i="8" s="1"/>
  <c r="I8" i="6"/>
  <c r="I8" i="8" s="1"/>
  <c r="I10" i="8" s="1"/>
  <c r="I12" i="8" s="1"/>
  <c r="J8" i="6"/>
  <c r="J8" i="8" s="1"/>
  <c r="J10" i="8" s="1"/>
  <c r="J12" i="8" s="1"/>
  <c r="K8" i="6"/>
  <c r="K8" i="8" s="1"/>
  <c r="K10" i="8" s="1"/>
  <c r="K12" i="8" s="1"/>
  <c r="L8" i="6"/>
  <c r="L8" i="8" s="1"/>
  <c r="L10" i="8" s="1"/>
  <c r="L12" i="8" s="1"/>
  <c r="M8" i="6"/>
  <c r="M8" i="8" s="1"/>
  <c r="M10" i="8" s="1"/>
  <c r="M12" i="8" s="1"/>
  <c r="N8" i="6"/>
  <c r="N8" i="8" s="1"/>
  <c r="N10" i="8" s="1"/>
  <c r="N12" i="8" s="1"/>
  <c r="O8" i="6"/>
  <c r="O8" i="8" s="1"/>
  <c r="O10" i="8" s="1"/>
  <c r="O12" i="8" s="1"/>
  <c r="P8" i="6"/>
  <c r="P8" i="8" s="1"/>
  <c r="P10" i="8" s="1"/>
  <c r="P12" i="8" s="1"/>
  <c r="Q8" i="6"/>
  <c r="Q8" i="8" s="1"/>
  <c r="Q10" i="8" s="1"/>
  <c r="Q12" i="8" s="1"/>
  <c r="R8" i="6"/>
  <c r="R8" i="8" s="1"/>
  <c r="R10" i="8" s="1"/>
  <c r="R12" i="8" s="1"/>
  <c r="S8" i="6"/>
  <c r="S8" i="8" s="1"/>
  <c r="S10" i="8" s="1"/>
  <c r="S12" i="8" s="1"/>
  <c r="T8" i="6"/>
  <c r="T8" i="8" s="1"/>
  <c r="T10" i="8" s="1"/>
  <c r="T12" i="8" s="1"/>
  <c r="U8" i="6"/>
  <c r="U8" i="8" s="1"/>
  <c r="U10" i="8" s="1"/>
  <c r="U12" i="8" s="1"/>
  <c r="V8" i="6"/>
  <c r="V8" i="8" s="1"/>
  <c r="V10" i="8" s="1"/>
  <c r="V12" i="8" s="1"/>
  <c r="C8" i="6"/>
  <c r="C8" i="8" s="1"/>
  <c r="C10" i="8" s="1"/>
  <c r="C12" i="8" l="1"/>
  <c r="C14" i="8" s="1"/>
  <c r="C18" i="8" s="1"/>
  <c r="C23" i="8" s="1"/>
  <c r="C11" i="3"/>
  <c r="O11" i="3"/>
  <c r="K11" i="3"/>
  <c r="V11" i="3"/>
  <c r="R11" i="3"/>
  <c r="N11" i="3"/>
  <c r="J11" i="3"/>
  <c r="F11" i="3"/>
  <c r="U11" i="3"/>
  <c r="Q11" i="3"/>
  <c r="M11" i="3"/>
  <c r="I11" i="3"/>
  <c r="E11" i="3"/>
  <c r="S11" i="3"/>
  <c r="G11" i="3"/>
  <c r="T11" i="3"/>
  <c r="P11" i="3"/>
  <c r="L11" i="3"/>
  <c r="H11" i="3"/>
  <c r="D11" i="3"/>
  <c r="C9" i="3"/>
  <c r="S9" i="3"/>
  <c r="O9" i="3"/>
  <c r="O10" i="3" s="1"/>
  <c r="K9" i="3"/>
  <c r="G9" i="3"/>
  <c r="V9" i="3"/>
  <c r="R9" i="3"/>
  <c r="N9" i="3"/>
  <c r="J9" i="3"/>
  <c r="F9" i="3"/>
  <c r="U9" i="3"/>
  <c r="Q9" i="3"/>
  <c r="M9" i="3"/>
  <c r="I9" i="3"/>
  <c r="E9" i="3"/>
  <c r="E10" i="8"/>
  <c r="E12" i="8" s="1"/>
  <c r="E14" i="8" s="1"/>
  <c r="E18" i="8" s="1"/>
  <c r="E23" i="8" s="1"/>
  <c r="T9" i="3"/>
  <c r="P9" i="3"/>
  <c r="L9" i="3"/>
  <c r="H9" i="3"/>
  <c r="D9" i="3"/>
  <c r="G8" i="3"/>
  <c r="S8" i="3"/>
  <c r="S10" i="3" s="1"/>
  <c r="K8" i="3"/>
  <c r="R8" i="3"/>
  <c r="J8" i="3"/>
  <c r="U8" i="3"/>
  <c r="U10" i="3" s="1"/>
  <c r="Q8" i="3"/>
  <c r="M8" i="3"/>
  <c r="M10" i="3" s="1"/>
  <c r="I8" i="3"/>
  <c r="E8" i="3"/>
  <c r="E23" i="3" s="1"/>
  <c r="C8" i="3"/>
  <c r="C10" i="3" s="1"/>
  <c r="C12" i="3" s="1"/>
  <c r="C14" i="3" s="1"/>
  <c r="C16" i="3" s="1"/>
  <c r="O8" i="3"/>
  <c r="V8" i="3"/>
  <c r="N8" i="3"/>
  <c r="O23" i="3" s="1"/>
  <c r="F8" i="3"/>
  <c r="T8" i="3"/>
  <c r="P8" i="3"/>
  <c r="P23" i="3" s="1"/>
  <c r="L8" i="3"/>
  <c r="M23" i="3" s="1"/>
  <c r="H8" i="3"/>
  <c r="H10" i="3" s="1"/>
  <c r="D8" i="3"/>
  <c r="D10" i="3" s="1"/>
  <c r="I10" i="3"/>
  <c r="T10" i="3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G23" i="3" l="1"/>
  <c r="Q10" i="3"/>
  <c r="K10" i="3"/>
  <c r="K12" i="3" s="1"/>
  <c r="N10" i="3"/>
  <c r="N12" i="3" s="1"/>
  <c r="I23" i="3"/>
  <c r="E10" i="3"/>
  <c r="E12" i="3" s="1"/>
  <c r="R10" i="3"/>
  <c r="R20" i="3" s="1"/>
  <c r="T23" i="3"/>
  <c r="D12" i="3"/>
  <c r="D14" i="3" s="1"/>
  <c r="D16" i="3" s="1"/>
  <c r="F10" i="3"/>
  <c r="F20" i="3" s="1"/>
  <c r="N23" i="3"/>
  <c r="S23" i="3"/>
  <c r="U23" i="3"/>
  <c r="V23" i="3"/>
  <c r="J23" i="3"/>
  <c r="L10" i="3"/>
  <c r="L20" i="3" s="1"/>
  <c r="J10" i="3"/>
  <c r="J20" i="3" s="1"/>
  <c r="V10" i="3"/>
  <c r="V20" i="3" s="1"/>
  <c r="P10" i="3"/>
  <c r="P12" i="3" s="1"/>
  <c r="G10" i="3"/>
  <c r="G20" i="3" s="1"/>
  <c r="H23" i="3"/>
  <c r="F23" i="3"/>
  <c r="Q23" i="3"/>
  <c r="L23" i="3"/>
  <c r="K23" i="3"/>
  <c r="R23" i="3"/>
  <c r="H12" i="3"/>
  <c r="H20" i="3"/>
  <c r="J12" i="3"/>
  <c r="K20" i="3"/>
  <c r="M12" i="3"/>
  <c r="M20" i="3"/>
  <c r="U12" i="3"/>
  <c r="U20" i="3"/>
  <c r="G12" i="3"/>
  <c r="T12" i="3"/>
  <c r="T20" i="3"/>
  <c r="R12" i="3"/>
  <c r="S12" i="3"/>
  <c r="S20" i="3"/>
  <c r="I12" i="3"/>
  <c r="I20" i="3"/>
  <c r="Q12" i="3"/>
  <c r="Q20" i="3"/>
  <c r="O12" i="3"/>
  <c r="O20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D23" i="3"/>
  <c r="V12" i="3" l="1"/>
  <c r="V14" i="3" s="1"/>
  <c r="E20" i="3"/>
  <c r="F12" i="3"/>
  <c r="F14" i="3" s="1"/>
  <c r="F16" i="3" s="1"/>
  <c r="F22" i="3" s="1"/>
  <c r="N20" i="3"/>
  <c r="L12" i="3"/>
  <c r="L21" i="3" s="1"/>
  <c r="P20" i="3"/>
  <c r="O14" i="3"/>
  <c r="O21" i="3"/>
  <c r="I14" i="3"/>
  <c r="I21" i="3"/>
  <c r="L14" i="3"/>
  <c r="M14" i="3"/>
  <c r="M21" i="3"/>
  <c r="R14" i="3"/>
  <c r="R21" i="3"/>
  <c r="N14" i="3"/>
  <c r="N21" i="3"/>
  <c r="K14" i="3"/>
  <c r="K21" i="3"/>
  <c r="P14" i="3"/>
  <c r="P21" i="3"/>
  <c r="V21" i="3"/>
  <c r="Q14" i="3"/>
  <c r="Q21" i="3"/>
  <c r="S14" i="3"/>
  <c r="S21" i="3"/>
  <c r="T14" i="3"/>
  <c r="T21" i="3"/>
  <c r="G14" i="3"/>
  <c r="G21" i="3"/>
  <c r="U14" i="3"/>
  <c r="U21" i="3"/>
  <c r="E14" i="3"/>
  <c r="E16" i="3" s="1"/>
  <c r="E22" i="3" s="1"/>
  <c r="E21" i="3"/>
  <c r="J14" i="3"/>
  <c r="J21" i="3"/>
  <c r="H14" i="3"/>
  <c r="H21" i="3"/>
  <c r="D20" i="3"/>
  <c r="C20" i="3"/>
  <c r="E27" i="1"/>
  <c r="F27" i="1"/>
  <c r="G27" i="1"/>
  <c r="D27" i="1"/>
  <c r="D24" i="1"/>
  <c r="E24" i="1"/>
  <c r="F24" i="1"/>
  <c r="G24" i="1"/>
  <c r="D25" i="1"/>
  <c r="E25" i="1"/>
  <c r="F25" i="1"/>
  <c r="G25" i="1"/>
  <c r="D26" i="1"/>
  <c r="E26" i="1"/>
  <c r="F26" i="1"/>
  <c r="G26" i="1"/>
  <c r="C26" i="1"/>
  <c r="C25" i="1"/>
  <c r="C24" i="1"/>
  <c r="E23" i="1"/>
  <c r="F23" i="1" s="1"/>
  <c r="G23" i="1" s="1"/>
  <c r="D23" i="1"/>
  <c r="D20" i="1"/>
  <c r="E20" i="1"/>
  <c r="F20" i="1"/>
  <c r="G20" i="1"/>
  <c r="C20" i="1"/>
  <c r="D18" i="1"/>
  <c r="E18" i="1"/>
  <c r="F18" i="1"/>
  <c r="G18" i="1"/>
  <c r="C18" i="1"/>
  <c r="D16" i="1"/>
  <c r="E16" i="1"/>
  <c r="F16" i="1"/>
  <c r="G16" i="1"/>
  <c r="C16" i="1"/>
  <c r="D15" i="1"/>
  <c r="E15" i="1"/>
  <c r="F15" i="1"/>
  <c r="G15" i="1"/>
  <c r="C15" i="1"/>
  <c r="D13" i="1"/>
  <c r="E13" i="1"/>
  <c r="F13" i="1"/>
  <c r="G13" i="1"/>
  <c r="C13" i="1"/>
  <c r="D12" i="1"/>
  <c r="E12" i="1"/>
  <c r="F12" i="1"/>
  <c r="G12" i="1"/>
  <c r="C12" i="1"/>
  <c r="D11" i="1"/>
  <c r="E11" i="1"/>
  <c r="F11" i="1"/>
  <c r="G11" i="1"/>
  <c r="C11" i="1"/>
  <c r="M6" i="1"/>
  <c r="E6" i="1"/>
  <c r="F6" i="1" s="1"/>
  <c r="G6" i="1" s="1"/>
  <c r="D6" i="1"/>
  <c r="F21" i="3" l="1"/>
  <c r="H15" i="3"/>
  <c r="H13" i="8" s="1"/>
  <c r="H14" i="8" s="1"/>
  <c r="H18" i="8" s="1"/>
  <c r="H23" i="8" s="1"/>
  <c r="G15" i="3"/>
  <c r="G13" i="8" s="1"/>
  <c r="G14" i="8" s="1"/>
  <c r="G18" i="8" s="1"/>
  <c r="G23" i="8" s="1"/>
  <c r="S15" i="3"/>
  <c r="S13" i="8" s="1"/>
  <c r="S14" i="8" s="1"/>
  <c r="S18" i="8" s="1"/>
  <c r="S23" i="8" s="1"/>
  <c r="V15" i="3"/>
  <c r="V13" i="8" s="1"/>
  <c r="V14" i="8" s="1"/>
  <c r="V18" i="8" s="1"/>
  <c r="V23" i="8" s="1"/>
  <c r="K15" i="3"/>
  <c r="K13" i="8" s="1"/>
  <c r="K14" i="8" s="1"/>
  <c r="K18" i="8" s="1"/>
  <c r="K23" i="8" s="1"/>
  <c r="R15" i="3"/>
  <c r="R13" i="8" s="1"/>
  <c r="R14" i="8" s="1"/>
  <c r="R18" i="8" s="1"/>
  <c r="R23" i="8" s="1"/>
  <c r="M15" i="3"/>
  <c r="M13" i="8" s="1"/>
  <c r="M14" i="8" s="1"/>
  <c r="M18" i="8" s="1"/>
  <c r="M23" i="8" s="1"/>
  <c r="I15" i="3"/>
  <c r="I13" i="8" s="1"/>
  <c r="I14" i="8" s="1"/>
  <c r="I18" i="8" s="1"/>
  <c r="I23" i="8" s="1"/>
  <c r="J15" i="3"/>
  <c r="J13" i="8" s="1"/>
  <c r="J14" i="8" s="1"/>
  <c r="J18" i="8" s="1"/>
  <c r="J23" i="8" s="1"/>
  <c r="U15" i="3"/>
  <c r="U13" i="8" s="1"/>
  <c r="U14" i="8" s="1"/>
  <c r="U18" i="8" s="1"/>
  <c r="U23" i="8" s="1"/>
  <c r="T15" i="3"/>
  <c r="T13" i="8" s="1"/>
  <c r="T14" i="8" s="1"/>
  <c r="T18" i="8" s="1"/>
  <c r="T23" i="8" s="1"/>
  <c r="Q15" i="3"/>
  <c r="Q13" i="8" s="1"/>
  <c r="Q14" i="8" s="1"/>
  <c r="Q18" i="8" s="1"/>
  <c r="Q23" i="8" s="1"/>
  <c r="P15" i="3"/>
  <c r="P13" i="8" s="1"/>
  <c r="P14" i="8" s="1"/>
  <c r="P18" i="8" s="1"/>
  <c r="P23" i="8" s="1"/>
  <c r="N15" i="3"/>
  <c r="N13" i="8" s="1"/>
  <c r="N14" i="8" s="1"/>
  <c r="N18" i="8" s="1"/>
  <c r="N23" i="8" s="1"/>
  <c r="L15" i="3"/>
  <c r="L13" i="8" s="1"/>
  <c r="L14" i="8" s="1"/>
  <c r="L18" i="8" s="1"/>
  <c r="L23" i="8" s="1"/>
  <c r="O15" i="3"/>
  <c r="O13" i="8" s="1"/>
  <c r="O14" i="8" s="1"/>
  <c r="O18" i="8" s="1"/>
  <c r="O23" i="8" s="1"/>
  <c r="C21" i="3"/>
  <c r="C22" i="3"/>
  <c r="D22" i="3"/>
  <c r="D21" i="3"/>
  <c r="R16" i="3" l="1"/>
  <c r="R22" i="3" s="1"/>
  <c r="V16" i="3"/>
  <c r="V22" i="3" s="1"/>
  <c r="G16" i="3"/>
  <c r="G22" i="3" s="1"/>
  <c r="M16" i="3"/>
  <c r="M22" i="3" s="1"/>
  <c r="K16" i="3"/>
  <c r="K22" i="3" s="1"/>
  <c r="S16" i="3"/>
  <c r="S22" i="3" s="1"/>
  <c r="H16" i="3"/>
  <c r="H22" i="3" s="1"/>
  <c r="C25" i="8"/>
  <c r="C28" i="8" s="1"/>
  <c r="O16" i="3"/>
  <c r="O22" i="3" s="1"/>
  <c r="N16" i="3"/>
  <c r="N22" i="3" s="1"/>
  <c r="Q16" i="3"/>
  <c r="Q22" i="3" s="1"/>
  <c r="U16" i="3"/>
  <c r="U22" i="3" s="1"/>
  <c r="I16" i="3"/>
  <c r="I22" i="3" s="1"/>
  <c r="L16" i="3"/>
  <c r="L22" i="3" s="1"/>
  <c r="P16" i="3"/>
  <c r="P22" i="3" s="1"/>
  <c r="T16" i="3"/>
  <c r="T22" i="3" s="1"/>
  <c r="J16" i="3"/>
  <c r="J22" i="3" s="1"/>
</calcChain>
</file>

<file path=xl/sharedStrings.xml><?xml version="1.0" encoding="utf-8"?>
<sst xmlns="http://schemas.openxmlformats.org/spreadsheetml/2006/main" count="150" uniqueCount="110">
  <si>
    <t>Revenue</t>
  </si>
  <si>
    <t>Expenditure</t>
  </si>
  <si>
    <t>Operational &amp; Maintenance</t>
  </si>
  <si>
    <t>Administration &amp; other expenses</t>
  </si>
  <si>
    <t>EBITDA</t>
  </si>
  <si>
    <t>EBITDA%</t>
  </si>
  <si>
    <t>EBIT</t>
  </si>
  <si>
    <t>EBIT%</t>
  </si>
  <si>
    <t>Finance cost</t>
  </si>
  <si>
    <t>Tax</t>
  </si>
  <si>
    <t>Particular (INR Crore)</t>
  </si>
  <si>
    <t>Total Expenses</t>
  </si>
  <si>
    <t>Depreciation &amp; Amortization</t>
  </si>
  <si>
    <t>Profit Before Taxes</t>
  </si>
  <si>
    <t>Profit After Taxes</t>
  </si>
  <si>
    <t>EBITDA Margin %</t>
  </si>
  <si>
    <t>EBIT Margin %</t>
  </si>
  <si>
    <t>Net Profit Margin%</t>
  </si>
  <si>
    <t>Revenue Growth % (Y.O.Y.)</t>
  </si>
  <si>
    <t xml:space="preserve">Particular </t>
  </si>
  <si>
    <t>Historical Profit &amp; Loss Statement</t>
  </si>
  <si>
    <t>Projected Profit &amp; Loss Statement</t>
  </si>
  <si>
    <t>M/s Danu Wind Parks Pvt. Ltd.</t>
  </si>
  <si>
    <t>Danu 1</t>
  </si>
  <si>
    <t>Danu 2</t>
  </si>
  <si>
    <t>Total Revenue</t>
  </si>
  <si>
    <t>Total Operating &amp; Maintenance Cost</t>
  </si>
  <si>
    <t>Total Dep. &amp; Amortization</t>
  </si>
  <si>
    <t>Finance cost (Interest)</t>
  </si>
  <si>
    <t>Interest on Term Loan</t>
  </si>
  <si>
    <t>Interest on Working Capital</t>
  </si>
  <si>
    <t>Finance Cost</t>
  </si>
  <si>
    <t>Profit Before Taxes (PBT)</t>
  </si>
  <si>
    <t>Profit After Taxes (PAT)</t>
  </si>
  <si>
    <t>Particular</t>
  </si>
  <si>
    <t>Enterprise Value Using DCF</t>
  </si>
  <si>
    <t>NOPAT</t>
  </si>
  <si>
    <t>+ Dep &amp; Amortization</t>
  </si>
  <si>
    <t>Net Working Capital</t>
  </si>
  <si>
    <t>Change in Working Capital</t>
  </si>
  <si>
    <t>- Change in Working Capital</t>
  </si>
  <si>
    <t>FCFF</t>
  </si>
  <si>
    <t>- Capex</t>
  </si>
  <si>
    <t>Discount Period</t>
  </si>
  <si>
    <t>Discount Factor</t>
  </si>
  <si>
    <t>WACC</t>
  </si>
  <si>
    <t>PV of FCFF</t>
  </si>
  <si>
    <t>Distress Value Factor</t>
  </si>
  <si>
    <t>Distressed Value of the Firm</t>
  </si>
  <si>
    <t>Company Risk Premium</t>
  </si>
  <si>
    <t>Enterprise Value (EV) of the Firm</t>
  </si>
  <si>
    <t>Number of Months</t>
  </si>
  <si>
    <t>Tax Rates</t>
  </si>
  <si>
    <t>Description</t>
  </si>
  <si>
    <t>Basic rate</t>
  </si>
  <si>
    <t>Effective tax rate</t>
  </si>
  <si>
    <t>80IA Applicability</t>
  </si>
  <si>
    <t>Yes</t>
  </si>
  <si>
    <t>80IA Applicable from</t>
  </si>
  <si>
    <t>80IA Applicable till</t>
  </si>
  <si>
    <t>(+) Cess/Health &amp; education</t>
  </si>
  <si>
    <t>(+) Surcharge</t>
  </si>
  <si>
    <t>Applicable Tax Rate</t>
  </si>
  <si>
    <t>Weighted Average Cost Of Capital (WACC)</t>
  </si>
  <si>
    <t>Weight Of Debt (Wd)</t>
  </si>
  <si>
    <t>Cost Of Debt (Kd)</t>
  </si>
  <si>
    <t>Weight of Equity (We)</t>
  </si>
  <si>
    <t>Cost of Equity (Ke)</t>
  </si>
  <si>
    <t>Effective Tax Rate</t>
  </si>
  <si>
    <t>Total Debt</t>
  </si>
  <si>
    <t>Total Equity</t>
  </si>
  <si>
    <t>Debt + Equity</t>
  </si>
  <si>
    <t>Capital Structure</t>
  </si>
  <si>
    <t>Cost of Debt</t>
  </si>
  <si>
    <t>Effective Tax Rate (t)</t>
  </si>
  <si>
    <t>(1-t)</t>
  </si>
  <si>
    <t>Post-tax Cost of Debt</t>
  </si>
  <si>
    <t>Wd</t>
  </si>
  <si>
    <t>We</t>
  </si>
  <si>
    <t>Cost Of Equity (Ke)</t>
  </si>
  <si>
    <t>Risk-free Rate (Rf)</t>
  </si>
  <si>
    <t>Beta</t>
  </si>
  <si>
    <t>Market Return (Rm)</t>
  </si>
  <si>
    <t>Market Risk Premium(Rm-Rf)</t>
  </si>
  <si>
    <t>Beta Calculation</t>
  </si>
  <si>
    <t>Comparable Companies</t>
  </si>
  <si>
    <t>Market Capitalisation</t>
  </si>
  <si>
    <t>Debt-Equity</t>
  </si>
  <si>
    <t>Average D/E</t>
  </si>
  <si>
    <t>Unlevered Beta</t>
  </si>
  <si>
    <t>D/E Ratio</t>
  </si>
  <si>
    <t>Levered Beta</t>
  </si>
  <si>
    <t>Re-levered Beta</t>
  </si>
  <si>
    <t>Danu D/E Ratio</t>
  </si>
  <si>
    <t>INR Crore</t>
  </si>
  <si>
    <t>10-year govt. bond rate as on 3/111/2022</t>
  </si>
  <si>
    <t>Post-tax Cost Of Debt (Kd)</t>
  </si>
  <si>
    <t>Discount Rate</t>
  </si>
  <si>
    <t>Karma Energy Ltd.</t>
  </si>
  <si>
    <t>Gita Renewable Energy Ltd.</t>
  </si>
  <si>
    <t>KKV Agro Powers Ltd.</t>
  </si>
  <si>
    <t>Indowind Energy Ltd.</t>
  </si>
  <si>
    <t>S.E. Power Ltd.</t>
  </si>
  <si>
    <t>Weighted Average Cost Of debt</t>
  </si>
  <si>
    <t>CAPM</t>
  </si>
  <si>
    <t>Nifty Fifty -10 year return</t>
  </si>
  <si>
    <t>Depreciation Schedule:</t>
  </si>
  <si>
    <t>Depreciable Value as on 31st March 2022</t>
  </si>
  <si>
    <t>(SLM Method)</t>
  </si>
  <si>
    <t>Total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</si>
</sst>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FY&quot;\ 0\ &quot;A&quot;"/>
    <numFmt numFmtId="165" formatCode="&quot;FY&quot;\ 0\ &quot;P&quot;"/>
    <numFmt numFmtId="166" formatCode="&quot;FY&quot;\ 0\ &quot;E&quot;"/>
    <numFmt numFmtId="167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2" tint="-9.9978637043366805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3" borderId="0" xfId="0" applyFont="1" applyFill="1"/>
    <xf numFmtId="0" fontId="6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0" fontId="3" fillId="0" borderId="0" xfId="0" applyFont="1"/>
    <xf numFmtId="164" fontId="2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0" fontId="7" fillId="0" borderId="0" xfId="1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/>
    <xf numFmtId="165" fontId="2" fillId="3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3" fillId="0" borderId="0" xfId="0" quotePrefix="1" applyFont="1"/>
    <xf numFmtId="0" fontId="2" fillId="3" borderId="0" xfId="0" applyFont="1" applyFill="1" applyAlignment="1">
      <alignment vertical="center"/>
    </xf>
    <xf numFmtId="2" fontId="6" fillId="3" borderId="0" xfId="0" applyNumberFormat="1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0" fillId="3" borderId="0" xfId="0" applyFont="1" applyFill="1"/>
    <xf numFmtId="1" fontId="0" fillId="0" borderId="0" xfId="0" applyNumberFormat="1" applyAlignment="1">
      <alignment horizontal="center" vertical="center"/>
    </xf>
    <xf numFmtId="10" fontId="2" fillId="3" borderId="0" xfId="1" applyNumberFormat="1" applyFont="1" applyFill="1" applyAlignment="1">
      <alignment horizontal="center" vertical="center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9" fontId="13" fillId="0" borderId="0" xfId="0" applyNumberFormat="1" applyFont="1" applyBorder="1" applyAlignment="1">
      <alignment horizontal="left" vertical="center" indent="8"/>
    </xf>
    <xf numFmtId="10" fontId="13" fillId="0" borderId="0" xfId="0" applyNumberFormat="1" applyFont="1" applyBorder="1" applyAlignment="1">
      <alignment horizontal="left" vertical="center" indent="8"/>
    </xf>
    <xf numFmtId="0" fontId="13" fillId="0" borderId="0" xfId="0" applyFont="1" applyBorder="1" applyAlignment="1">
      <alignment horizontal="left" vertical="center" indent="8"/>
    </xf>
    <xf numFmtId="14" fontId="13" fillId="0" borderId="0" xfId="0" applyNumberFormat="1" applyFont="1" applyBorder="1" applyAlignment="1">
      <alignment horizontal="left" vertical="center" indent="8"/>
    </xf>
    <xf numFmtId="0" fontId="12" fillId="0" borderId="0" xfId="0" quotePrefix="1" applyFont="1" applyBorder="1" applyAlignment="1">
      <alignment vertical="center" wrapText="1"/>
    </xf>
    <xf numFmtId="10" fontId="13" fillId="0" borderId="0" xfId="1" applyNumberFormat="1" applyFont="1" applyBorder="1" applyAlignment="1">
      <alignment horizontal="left" vertical="center" indent="8"/>
    </xf>
    <xf numFmtId="10" fontId="3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1" xfId="0" applyFont="1" applyBorder="1"/>
    <xf numFmtId="0" fontId="0" fillId="0" borderId="5" xfId="0" applyBorder="1"/>
    <xf numFmtId="2" fontId="0" fillId="0" borderId="5" xfId="0" applyNumberFormat="1" applyBorder="1"/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/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2" fontId="0" fillId="0" borderId="5" xfId="0" applyNumberFormat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10" fontId="0" fillId="0" borderId="0" xfId="0" applyNumberFormat="1"/>
    <xf numFmtId="10" fontId="3" fillId="0" borderId="1" xfId="0" applyNumberFormat="1" applyFont="1" applyBorder="1"/>
    <xf numFmtId="10" fontId="0" fillId="0" borderId="0" xfId="1" applyNumberFormat="1" applyFont="1" applyAlignment="1">
      <alignment vertical="center"/>
    </xf>
    <xf numFmtId="0" fontId="10" fillId="3" borderId="0" xfId="0" applyFont="1" applyFill="1" applyAlignment="1">
      <alignment vertical="center"/>
    </xf>
    <xf numFmtId="43" fontId="1" fillId="0" borderId="5" xfId="2" applyNumberFormat="1" applyFont="1" applyBorder="1"/>
    <xf numFmtId="43" fontId="0" fillId="0" borderId="5" xfId="0" applyNumberFormat="1" applyBorder="1"/>
    <xf numFmtId="0" fontId="2" fillId="3" borderId="5" xfId="0" applyFont="1" applyFill="1" applyBorder="1"/>
    <xf numFmtId="167" fontId="2" fillId="3" borderId="5" xfId="2" applyNumberFormat="1" applyFont="1" applyFill="1" applyBorder="1"/>
    <xf numFmtId="2" fontId="2" fillId="3" borderId="5" xfId="0" applyNumberFormat="1" applyFont="1" applyFill="1" applyBorder="1"/>
    <xf numFmtId="2" fontId="2" fillId="3" borderId="5" xfId="0" applyNumberFormat="1" applyFont="1" applyFill="1" applyBorder="1" applyAlignment="1">
      <alignment horizontal="center"/>
    </xf>
    <xf numFmtId="0" fontId="14" fillId="0" borderId="0" xfId="0" applyFont="1"/>
    <xf numFmtId="0" fontId="14" fillId="6" borderId="0" xfId="0" applyFont="1" applyFill="1"/>
    <xf numFmtId="10" fontId="14" fillId="6" borderId="0" xfId="0" applyNumberFormat="1" applyFont="1" applyFill="1"/>
    <xf numFmtId="10" fontId="14" fillId="6" borderId="0" xfId="1" applyNumberFormat="1" applyFont="1" applyFill="1"/>
    <xf numFmtId="10" fontId="0" fillId="0" borderId="0" xfId="1" applyNumberFormat="1" applyFont="1" applyAlignment="1"/>
    <xf numFmtId="0" fontId="15" fillId="0" borderId="0" xfId="0" applyFont="1" applyBorder="1" applyAlignment="1">
      <alignment vertical="center"/>
    </xf>
    <xf numFmtId="10" fontId="0" fillId="0" borderId="0" xfId="0" applyNumberFormat="1" applyAlignment="1">
      <alignment horizontal="center"/>
    </xf>
    <xf numFmtId="10" fontId="10" fillId="3" borderId="0" xfId="1" applyNumberFormat="1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</cellXfs>
  <cellStyles count="3">
    <cellStyle name="Comma 100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EBITDA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Analysis'!$B$24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 formatCode="&quot;FY&quot;\ 0\ &quot;P&quot;">
                  <c:v>2022</c:v>
                </c:pt>
              </c:numCache>
            </c:numRef>
          </c:cat>
          <c:val>
            <c:numRef>
              <c:f>'Historical Analysis'!$C$24:$G$24</c:f>
              <c:numCache>
                <c:formatCode>0.00%</c:formatCode>
                <c:ptCount val="5"/>
                <c:pt idx="0">
                  <c:v>0.95488146826408349</c:v>
                </c:pt>
                <c:pt idx="1">
                  <c:v>0.72405354829422774</c:v>
                </c:pt>
                <c:pt idx="2">
                  <c:v>0.87226753670473089</c:v>
                </c:pt>
                <c:pt idx="3">
                  <c:v>0.84864998761456523</c:v>
                </c:pt>
                <c:pt idx="4">
                  <c:v>0.5283914252986418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4194840"/>
        <c:axId val="154195224"/>
      </c:barChart>
      <c:catAx>
        <c:axId val="15419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700407326804565"/>
              <c:y val="0.88871246266630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95224"/>
        <c:crosses val="autoZero"/>
        <c:auto val="1"/>
        <c:lblAlgn val="ctr"/>
        <c:lblOffset val="100"/>
        <c:noMultiLvlLbl val="0"/>
      </c:catAx>
      <c:valAx>
        <c:axId val="1541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9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Analysis'!$B$25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 formatCode="&quot;FY&quot;\ 0\ &quot;P&quot;">
                  <c:v>2022</c:v>
                </c:pt>
              </c:numCache>
            </c:numRef>
          </c:cat>
          <c:val>
            <c:numRef>
              <c:f>'Historical Analysis'!$C$25:$G$25</c:f>
              <c:numCache>
                <c:formatCode>0.00%</c:formatCode>
                <c:ptCount val="5"/>
                <c:pt idx="0">
                  <c:v>0.64899311751210798</c:v>
                </c:pt>
                <c:pt idx="1">
                  <c:v>0.49057146969915072</c:v>
                </c:pt>
                <c:pt idx="2">
                  <c:v>0.60685154975530187</c:v>
                </c:pt>
                <c:pt idx="3">
                  <c:v>0.44686648501362397</c:v>
                </c:pt>
                <c:pt idx="4">
                  <c:v>0.26296841760759287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118144"/>
        <c:axId val="326118528"/>
      </c:barChart>
      <c:catAx>
        <c:axId val="326118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254577816029878"/>
              <c:y val="0.89788761553320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118528"/>
        <c:crosses val="autoZero"/>
        <c:auto val="1"/>
        <c:lblAlgn val="ctr"/>
        <c:lblOffset val="100"/>
        <c:noMultiLvlLbl val="0"/>
      </c:catAx>
      <c:valAx>
        <c:axId val="3261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11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Analysis'!$B$26</c:f>
              <c:strCache>
                <c:ptCount val="1"/>
                <c:pt idx="0">
                  <c:v>Net Profit Margin%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 formatCode="&quot;FY&quot;\ 0\ &quot;P&quot;">
                  <c:v>2022</c:v>
                </c:pt>
              </c:numCache>
            </c:numRef>
          </c:cat>
          <c:val>
            <c:numRef>
              <c:f>'Historical Analysis'!$C$26:$G$26</c:f>
              <c:numCache>
                <c:formatCode>0.00%</c:formatCode>
                <c:ptCount val="5"/>
                <c:pt idx="0">
                  <c:v>0.17970940606678545</c:v>
                </c:pt>
                <c:pt idx="1">
                  <c:v>-6.4056427234777669E-2</c:v>
                </c:pt>
                <c:pt idx="2">
                  <c:v>-0.10864600326264273</c:v>
                </c:pt>
                <c:pt idx="3">
                  <c:v>-0.51350012385434729</c:v>
                </c:pt>
                <c:pt idx="4">
                  <c:v>-0.3339878906889216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646840"/>
        <c:axId val="326205576"/>
      </c:barChart>
      <c:catAx>
        <c:axId val="325646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464726419365892"/>
              <c:y val="0.9032460158166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05576"/>
        <c:crosses val="autoZero"/>
        <c:auto val="1"/>
        <c:lblAlgn val="ctr"/>
        <c:lblOffset val="100"/>
        <c:noMultiLvlLbl val="0"/>
      </c:catAx>
      <c:valAx>
        <c:axId val="32620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4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'Historical Analysis'!$B$27</c:f>
              <c:strCache>
                <c:ptCount val="1"/>
                <c:pt idx="0">
                  <c:v>Revenue Growth %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Analysis'!$C$23:$G$23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 formatCode="&quot;FY&quot;\ 0\ &quot;P&quot;">
                  <c:v>2022</c:v>
                </c:pt>
              </c:numCache>
            </c:numRef>
          </c:cat>
          <c:val>
            <c:numRef>
              <c:f>'Historical Analysis'!$C$27:$G$27</c:f>
              <c:numCache>
                <c:formatCode>0.00%</c:formatCode>
                <c:ptCount val="5"/>
                <c:pt idx="1">
                  <c:v>0.77083864389497836</c:v>
                </c:pt>
                <c:pt idx="2">
                  <c:v>-0.11760472146250178</c:v>
                </c:pt>
                <c:pt idx="3">
                  <c:v>-0.34143556280587273</c:v>
                </c:pt>
                <c:pt idx="4">
                  <c:v>0.51374783254892264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980912"/>
        <c:axId val="326283408"/>
      </c:barChart>
      <c:catAx>
        <c:axId val="326980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49613403664171973"/>
              <c:y val="0.90300923983248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283408"/>
        <c:crosses val="autoZero"/>
        <c:auto val="1"/>
        <c:lblAlgn val="ctr"/>
        <c:lblOffset val="100"/>
        <c:noMultiLvlLbl val="0"/>
      </c:catAx>
      <c:valAx>
        <c:axId val="3262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I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98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EBITDA Margin %</a:t>
            </a:r>
          </a:p>
        </c:rich>
      </c:tx>
      <c:layout>
        <c:manualLayout>
          <c:xMode val="edge"/>
          <c:yMode val="edge"/>
          <c:x val="0.44599209342305635"/>
          <c:y val="4.1904749334908335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P&amp;L'!$B$20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P&amp;L'!$C$20:$V$20</c:f>
              <c:numCache>
                <c:formatCode>0.00%</c:formatCode>
                <c:ptCount val="20"/>
                <c:pt idx="0">
                  <c:v>0.89630764467408275</c:v>
                </c:pt>
                <c:pt idx="1">
                  <c:v>0.8913394982054279</c:v>
                </c:pt>
                <c:pt idx="2">
                  <c:v>0.88534396336878762</c:v>
                </c:pt>
                <c:pt idx="3">
                  <c:v>0.87522132579218148</c:v>
                </c:pt>
                <c:pt idx="4">
                  <c:v>0.86918516168977544</c:v>
                </c:pt>
                <c:pt idx="5">
                  <c:v>0.86278910439682477</c:v>
                </c:pt>
                <c:pt idx="6">
                  <c:v>0.85599129813718844</c:v>
                </c:pt>
                <c:pt idx="7">
                  <c:v>0.84885211347065348</c:v>
                </c:pt>
                <c:pt idx="8">
                  <c:v>0.84135448147687519</c:v>
                </c:pt>
                <c:pt idx="9">
                  <c:v>0.83348047978949125</c:v>
                </c:pt>
                <c:pt idx="10">
                  <c:v>0.82521128992382142</c:v>
                </c:pt>
                <c:pt idx="11">
                  <c:v>0.81652715247095142</c:v>
                </c:pt>
                <c:pt idx="12">
                  <c:v>0.80740732005152127</c:v>
                </c:pt>
                <c:pt idx="13">
                  <c:v>0.79783000791720293</c:v>
                </c:pt>
                <c:pt idx="14">
                  <c:v>0.78777234208225211</c:v>
                </c:pt>
                <c:pt idx="15">
                  <c:v>0.77721030486163678</c:v>
                </c:pt>
                <c:pt idx="16">
                  <c:v>0.76611867768607433</c:v>
                </c:pt>
                <c:pt idx="17">
                  <c:v>0.75447098105781685</c:v>
                </c:pt>
                <c:pt idx="18">
                  <c:v>0.7422394115042299</c:v>
                </c:pt>
                <c:pt idx="19">
                  <c:v>0.75082851836536302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38888"/>
        <c:axId val="155240848"/>
      </c:barChart>
      <c:catAx>
        <c:axId val="155238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700407326804565"/>
              <c:y val="0.88871246266630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40848"/>
        <c:crosses val="autoZero"/>
        <c:auto val="1"/>
        <c:lblAlgn val="ctr"/>
        <c:lblOffset val="100"/>
        <c:noMultiLvlLbl val="0"/>
      </c:catAx>
      <c:valAx>
        <c:axId val="15524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3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EBIT Margin %</a:t>
            </a:r>
          </a:p>
        </c:rich>
      </c:tx>
      <c:layout>
        <c:manualLayout>
          <c:xMode val="edge"/>
          <c:yMode val="edge"/>
          <c:x val="0.45166260260536739"/>
          <c:y val="3.4985412032043334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P&amp;L'!$B$21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P&amp;L'!$C$21:$V$21</c:f>
              <c:numCache>
                <c:formatCode>0.00%</c:formatCode>
                <c:ptCount val="20"/>
                <c:pt idx="0">
                  <c:v>0.66231256399993188</c:v>
                </c:pt>
                <c:pt idx="1">
                  <c:v>0.65734441753127704</c:v>
                </c:pt>
                <c:pt idx="2">
                  <c:v>0.64976373001261079</c:v>
                </c:pt>
                <c:pt idx="3">
                  <c:v>0.63063882830370543</c:v>
                </c:pt>
                <c:pt idx="4">
                  <c:v>0.6246026642012994</c:v>
                </c:pt>
                <c:pt idx="5">
                  <c:v>0.61820660690834872</c:v>
                </c:pt>
                <c:pt idx="6">
                  <c:v>0.61140880064871239</c:v>
                </c:pt>
                <c:pt idx="7">
                  <c:v>0.60426961598217743</c:v>
                </c:pt>
                <c:pt idx="8">
                  <c:v>0.59677198398839915</c:v>
                </c:pt>
                <c:pt idx="9">
                  <c:v>0.5888979823010152</c:v>
                </c:pt>
                <c:pt idx="10">
                  <c:v>0.58062879243534549</c:v>
                </c:pt>
                <c:pt idx="11">
                  <c:v>0.57194465498247549</c:v>
                </c:pt>
                <c:pt idx="12">
                  <c:v>0.56282482256304522</c:v>
                </c:pt>
                <c:pt idx="13">
                  <c:v>0.55324751042872689</c:v>
                </c:pt>
                <c:pt idx="14">
                  <c:v>0.54318984459377606</c:v>
                </c:pt>
                <c:pt idx="15">
                  <c:v>0.53262780737316073</c:v>
                </c:pt>
                <c:pt idx="16">
                  <c:v>0.52153618019759829</c:v>
                </c:pt>
                <c:pt idx="17">
                  <c:v>0.5098884835693408</c:v>
                </c:pt>
                <c:pt idx="18">
                  <c:v>0.49765691401575379</c:v>
                </c:pt>
                <c:pt idx="19">
                  <c:v>0.31634001504060544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42024"/>
        <c:axId val="155242416"/>
      </c:barChart>
      <c:catAx>
        <c:axId val="155242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254577816029878"/>
              <c:y val="0.89788761553320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42416"/>
        <c:crosses val="autoZero"/>
        <c:auto val="1"/>
        <c:lblAlgn val="ctr"/>
        <c:lblOffset val="100"/>
        <c:noMultiLvlLbl val="0"/>
      </c:catAx>
      <c:valAx>
        <c:axId val="15524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4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bg1"/>
                </a:solidFill>
              </a:rPr>
              <a:t>Net Profit Margin%</a:t>
            </a:r>
          </a:p>
        </c:rich>
      </c:tx>
      <c:layout>
        <c:manualLayout>
          <c:xMode val="edge"/>
          <c:yMode val="edge"/>
          <c:x val="0.43485497182659177"/>
          <c:y val="3.4995615903550978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P&amp;L'!$B$22</c:f>
              <c:strCache>
                <c:ptCount val="1"/>
                <c:pt idx="0">
                  <c:v>Net Profit Margin%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P&amp;L'!$C$22:$V$22</c:f>
              <c:numCache>
                <c:formatCode>0.00%</c:formatCode>
                <c:ptCount val="20"/>
                <c:pt idx="0">
                  <c:v>0.24573102892643706</c:v>
                </c:pt>
                <c:pt idx="1">
                  <c:v>0.27271734562594341</c:v>
                </c:pt>
                <c:pt idx="2">
                  <c:v>0.29690092001198815</c:v>
                </c:pt>
                <c:pt idx="3">
                  <c:v>0.3025081128121771</c:v>
                </c:pt>
                <c:pt idx="4">
                  <c:v>0.25086290247982046</c:v>
                </c:pt>
                <c:pt idx="5">
                  <c:v>0.27629321078431518</c:v>
                </c:pt>
                <c:pt idx="6">
                  <c:v>0.30291509827273977</c:v>
                </c:pt>
                <c:pt idx="7">
                  <c:v>0.33050650692579209</c:v>
                </c:pt>
                <c:pt idx="8">
                  <c:v>0.35782365160991697</c:v>
                </c:pt>
                <c:pt idx="9">
                  <c:v>0.38439726852974065</c:v>
                </c:pt>
                <c:pt idx="10">
                  <c:v>0.40049454609244595</c:v>
                </c:pt>
                <c:pt idx="11">
                  <c:v>0.40615667557920471</c:v>
                </c:pt>
                <c:pt idx="12">
                  <c:v>0.40114734596328777</c:v>
                </c:pt>
                <c:pt idx="13">
                  <c:v>0.3938188183892764</c:v>
                </c:pt>
                <c:pt idx="14">
                  <c:v>0.38612275086612485</c:v>
                </c:pt>
                <c:pt idx="15">
                  <c:v>0.37804076639637579</c:v>
                </c:pt>
                <c:pt idx="16">
                  <c:v>0.36955356913269982</c:v>
                </c:pt>
                <c:pt idx="17">
                  <c:v>0.36064089843540009</c:v>
                </c:pt>
                <c:pt idx="18">
                  <c:v>0.35128148063279568</c:v>
                </c:pt>
                <c:pt idx="19">
                  <c:v>0.21613369232061669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992880"/>
        <c:axId val="325994448"/>
      </c:barChart>
      <c:catAx>
        <c:axId val="32599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Financial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51464726419365892"/>
              <c:y val="0.90324601581665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94448"/>
        <c:crosses val="autoZero"/>
        <c:auto val="1"/>
        <c:lblAlgn val="ctr"/>
        <c:lblOffset val="100"/>
        <c:noMultiLvlLbl val="0"/>
      </c:catAx>
      <c:valAx>
        <c:axId val="32599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9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63872328916185"/>
          <c:y val="3.5928132419214352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'Projected P&amp;L'!$B$23</c:f>
              <c:strCache>
                <c:ptCount val="1"/>
                <c:pt idx="0">
                  <c:v>Revenue Growth %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6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'Projected P&amp;L'!$C$19:$V$19</c:f>
              <c:numCache>
                <c:formatCode>"FY"\ 0\ "E"</c:formatCode>
                <c:ptCount val="2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</c:numCache>
            </c:numRef>
          </c:cat>
          <c:val>
            <c:numRef>
              <c:f>'Projected P&amp;L'!$C$23:$V$23</c:f>
              <c:numCache>
                <c:formatCode>0.00%</c:formatCode>
                <c:ptCount val="20"/>
                <c:pt idx="1">
                  <c:v>0</c:v>
                </c:pt>
                <c:pt idx="2">
                  <c:v>-6.7287168343588277E-3</c:v>
                </c:pt>
                <c:pt idx="3">
                  <c:v>-3.6806657159609069E-2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-0.43707947249029189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5991704"/>
        <c:axId val="325992488"/>
      </c:barChart>
      <c:catAx>
        <c:axId val="32599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Fiancial</a:t>
                </a:r>
                <a:r>
                  <a:rPr lang="en-IN" sz="1050" b="1" i="1" baseline="0"/>
                  <a:t> Year</a:t>
                </a:r>
                <a:endParaRPr lang="en-IN" sz="1050" b="1" i="1"/>
              </a:p>
            </c:rich>
          </c:tx>
          <c:layout>
            <c:manualLayout>
              <c:xMode val="edge"/>
              <c:yMode val="edge"/>
              <c:x val="0.49613403664171973"/>
              <c:y val="0.90300923983248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E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92488"/>
        <c:crosses val="autoZero"/>
        <c:auto val="1"/>
        <c:lblAlgn val="ctr"/>
        <c:lblOffset val="100"/>
        <c:noMultiLvlLbl val="0"/>
      </c:catAx>
      <c:valAx>
        <c:axId val="32599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I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91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100011</xdr:colOff>
      <xdr:row>28</xdr:row>
      <xdr:rowOff>133349</xdr:rowOff>
    </xdr:from>
    <xdr:to>
      <xdr:col>5</xdr:col>
      <xdr:colOff>9525</xdr:colOff>
      <xdr:row>44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166686</xdr:colOff>
      <xdr:row>28</xdr:row>
      <xdr:rowOff>152399</xdr:rowOff>
    </xdr:from>
    <xdr:to>
      <xdr:col>12</xdr:col>
      <xdr:colOff>161925</xdr:colOff>
      <xdr:row>44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138111</xdr:colOff>
      <xdr:row>45</xdr:row>
      <xdr:rowOff>114299</xdr:rowOff>
    </xdr:from>
    <xdr:to>
      <xdr:col>4</xdr:col>
      <xdr:colOff>1095374</xdr:colOff>
      <xdr:row>61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195262</xdr:colOff>
      <xdr:row>45</xdr:row>
      <xdr:rowOff>123824</xdr:rowOff>
    </xdr:from>
    <xdr:to>
      <xdr:col>12</xdr:col>
      <xdr:colOff>171450</xdr:colOff>
      <xdr:row>61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61909</xdr:colOff>
      <xdr:row>25</xdr:row>
      <xdr:rowOff>123824</xdr:rowOff>
    </xdr:from>
    <xdr:to>
      <xdr:col>4</xdr:col>
      <xdr:colOff>485775</xdr:colOff>
      <xdr:row>39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900110</xdr:colOff>
      <xdr:row>25</xdr:row>
      <xdr:rowOff>152399</xdr:rowOff>
    </xdr:from>
    <xdr:to>
      <xdr:col>8</xdr:col>
      <xdr:colOff>752475</xdr:colOff>
      <xdr:row>40</xdr:row>
      <xdr:rowOff>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33336</xdr:colOff>
      <xdr:row>42</xdr:row>
      <xdr:rowOff>95249</xdr:rowOff>
    </xdr:from>
    <xdr:to>
      <xdr:col>4</xdr:col>
      <xdr:colOff>323850</xdr:colOff>
      <xdr:row>60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709612</xdr:colOff>
      <xdr:row>42</xdr:row>
      <xdr:rowOff>95249</xdr:rowOff>
    </xdr:from>
    <xdr:to>
      <xdr:col>8</xdr:col>
      <xdr:colOff>981075</xdr:colOff>
      <xdr:row>60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showGridLines="0" workbookViewId="0">
      <selection activeCell="H2" sqref="H2"/>
    </sheetView>
  </sheetViews>
  <sheetFormatPr defaultRowHeight="15" x14ac:dyDescent="0.25"/>
  <cols>
    <col min="1" max="1" width="4.7109375" customWidth="1"/>
    <col min="2" max="2" width="36.5703125" customWidth="1"/>
    <col min="3" max="7" width="16.7109375" customWidth="1"/>
    <col min="13" max="13" width="10.5703125" bestFit="1" customWidth="1"/>
  </cols>
  <sheetData>
    <row r="2" spans="2:13" ht="20.25" customHeight="1" x14ac:dyDescent="0.25">
      <c r="B2" s="2" t="s">
        <v>22</v>
      </c>
      <c r="C2" s="1"/>
      <c r="D2" s="1"/>
      <c r="E2" s="1"/>
      <c r="F2" s="1"/>
      <c r="G2" s="1"/>
    </row>
    <row r="3" spans="2:13" ht="11.25" customHeight="1" x14ac:dyDescent="0.25"/>
    <row r="4" spans="2:13" ht="16.5" customHeight="1" x14ac:dyDescent="0.25">
      <c r="B4" s="4" t="s">
        <v>20</v>
      </c>
      <c r="C4" s="3"/>
      <c r="D4" s="3"/>
      <c r="E4" s="3"/>
      <c r="F4" s="3"/>
      <c r="G4" s="3"/>
    </row>
    <row r="5" spans="2:13" ht="10.5" customHeight="1" x14ac:dyDescent="0.25"/>
    <row r="6" spans="2:13" ht="17.25" customHeight="1" x14ac:dyDescent="0.25">
      <c r="B6" s="4" t="s">
        <v>10</v>
      </c>
      <c r="C6" s="8">
        <v>2018</v>
      </c>
      <c r="D6" s="8">
        <f>C6+1</f>
        <v>2019</v>
      </c>
      <c r="E6" s="8">
        <f t="shared" ref="E6:G6" si="0">D6+1</f>
        <v>2020</v>
      </c>
      <c r="F6" s="8">
        <f t="shared" si="0"/>
        <v>2021</v>
      </c>
      <c r="G6" s="20">
        <f t="shared" si="0"/>
        <v>2022</v>
      </c>
      <c r="M6" s="6">
        <f>211181.22*10^3/10^7</f>
        <v>21.118122</v>
      </c>
    </row>
    <row r="7" spans="2:13" ht="20.100000000000001" customHeight="1" x14ac:dyDescent="0.25">
      <c r="B7" t="s">
        <v>0</v>
      </c>
      <c r="C7" s="9">
        <v>39.229999999999997</v>
      </c>
      <c r="D7" s="9">
        <v>69.47</v>
      </c>
      <c r="E7" s="9">
        <v>61.3</v>
      </c>
      <c r="F7" s="9">
        <v>40.369999999999997</v>
      </c>
      <c r="G7" s="9">
        <v>61.11</v>
      </c>
    </row>
    <row r="8" spans="2:13" ht="20.100000000000001" customHeight="1" x14ac:dyDescent="0.25">
      <c r="B8" s="7" t="s">
        <v>1</v>
      </c>
      <c r="C8" s="9"/>
      <c r="D8" s="9"/>
      <c r="E8" s="9"/>
      <c r="F8" s="9"/>
      <c r="G8" s="9"/>
    </row>
    <row r="9" spans="2:13" ht="20.100000000000001" customHeight="1" x14ac:dyDescent="0.25">
      <c r="B9" t="s">
        <v>2</v>
      </c>
      <c r="C9" s="9">
        <v>1.3</v>
      </c>
      <c r="D9" s="9">
        <v>4.8600000000000003</v>
      </c>
      <c r="E9" s="9">
        <v>7.26</v>
      </c>
      <c r="F9" s="9">
        <v>5.4</v>
      </c>
      <c r="G9" s="9">
        <v>7.7</v>
      </c>
    </row>
    <row r="10" spans="2:13" ht="20.100000000000001" customHeight="1" x14ac:dyDescent="0.25">
      <c r="B10" t="s">
        <v>3</v>
      </c>
      <c r="C10" s="9">
        <v>0.47</v>
      </c>
      <c r="D10" s="9">
        <v>14.31</v>
      </c>
      <c r="E10" s="9">
        <v>0.56999999999999995</v>
      </c>
      <c r="F10" s="9">
        <v>0.71</v>
      </c>
      <c r="G10" s="9">
        <v>21.12</v>
      </c>
    </row>
    <row r="11" spans="2:13" ht="20.100000000000001" customHeight="1" x14ac:dyDescent="0.25">
      <c r="B11" s="11" t="s">
        <v>11</v>
      </c>
      <c r="C11" s="10">
        <f>SUM(C9:C10)</f>
        <v>1.77</v>
      </c>
      <c r="D11" s="10">
        <f t="shared" ref="D11:G11" si="1">SUM(D9:D10)</f>
        <v>19.170000000000002</v>
      </c>
      <c r="E11" s="10">
        <f t="shared" si="1"/>
        <v>7.83</v>
      </c>
      <c r="F11" s="10">
        <f t="shared" si="1"/>
        <v>6.11</v>
      </c>
      <c r="G11" s="10">
        <f t="shared" si="1"/>
        <v>28.82</v>
      </c>
    </row>
    <row r="12" spans="2:13" ht="24.75" customHeight="1" x14ac:dyDescent="0.25">
      <c r="B12" s="5" t="s">
        <v>4</v>
      </c>
      <c r="C12" s="9">
        <f>C7-C11</f>
        <v>37.459999999999994</v>
      </c>
      <c r="D12" s="9">
        <f t="shared" ref="D12:G12" si="2">D7-D11</f>
        <v>50.3</v>
      </c>
      <c r="E12" s="9">
        <f t="shared" si="2"/>
        <v>53.47</v>
      </c>
      <c r="F12" s="9">
        <f t="shared" si="2"/>
        <v>34.26</v>
      </c>
      <c r="G12" s="9">
        <f t="shared" si="2"/>
        <v>32.29</v>
      </c>
    </row>
    <row r="13" spans="2:13" ht="20.100000000000001" hidden="1" customHeight="1" x14ac:dyDescent="0.25">
      <c r="B13" s="16" t="s">
        <v>5</v>
      </c>
      <c r="C13" s="17">
        <f>C12/C7</f>
        <v>0.95488146826408349</v>
      </c>
      <c r="D13" s="17">
        <f t="shared" ref="D13:G13" si="3">D12/D7</f>
        <v>0.72405354829422774</v>
      </c>
      <c r="E13" s="17">
        <f t="shared" si="3"/>
        <v>0.87226753670473089</v>
      </c>
      <c r="F13" s="17">
        <f t="shared" si="3"/>
        <v>0.84864998761456523</v>
      </c>
      <c r="G13" s="17">
        <f t="shared" si="3"/>
        <v>0.5283914252986418</v>
      </c>
    </row>
    <row r="14" spans="2:13" ht="20.100000000000001" customHeight="1" x14ac:dyDescent="0.25">
      <c r="B14" s="5" t="s">
        <v>12</v>
      </c>
      <c r="C14" s="13">
        <v>12</v>
      </c>
      <c r="D14" s="9">
        <v>16.22</v>
      </c>
      <c r="E14" s="9">
        <v>16.27</v>
      </c>
      <c r="F14" s="9">
        <v>16.22</v>
      </c>
      <c r="G14" s="9">
        <v>16.22</v>
      </c>
    </row>
    <row r="15" spans="2:13" ht="20.100000000000001" customHeight="1" x14ac:dyDescent="0.25">
      <c r="B15" s="14" t="s">
        <v>6</v>
      </c>
      <c r="C15" s="15">
        <f>C12-C14</f>
        <v>25.459999999999994</v>
      </c>
      <c r="D15" s="15">
        <f t="shared" ref="D15:G15" si="4">D12-D14</f>
        <v>34.08</v>
      </c>
      <c r="E15" s="15">
        <f t="shared" si="4"/>
        <v>37.200000000000003</v>
      </c>
      <c r="F15" s="15">
        <f t="shared" si="4"/>
        <v>18.04</v>
      </c>
      <c r="G15" s="15">
        <f t="shared" si="4"/>
        <v>16.07</v>
      </c>
    </row>
    <row r="16" spans="2:13" ht="20.100000000000001" hidden="1" customHeight="1" x14ac:dyDescent="0.25">
      <c r="B16" s="16" t="s">
        <v>7</v>
      </c>
      <c r="C16" s="17">
        <f>C15/C7</f>
        <v>0.64899311751210798</v>
      </c>
      <c r="D16" s="17">
        <f t="shared" ref="D16:G16" si="5">D15/D7</f>
        <v>0.49057146969915072</v>
      </c>
      <c r="E16" s="17">
        <f t="shared" si="5"/>
        <v>0.60685154975530187</v>
      </c>
      <c r="F16" s="17">
        <f t="shared" si="5"/>
        <v>0.44686648501362397</v>
      </c>
      <c r="G16" s="17">
        <f t="shared" si="5"/>
        <v>0.26296841760759287</v>
      </c>
    </row>
    <row r="17" spans="2:7" ht="20.100000000000001" customHeight="1" x14ac:dyDescent="0.25">
      <c r="B17" s="5" t="s">
        <v>8</v>
      </c>
      <c r="C17" s="9">
        <v>24.12</v>
      </c>
      <c r="D17" s="9">
        <v>33.880000000000003</v>
      </c>
      <c r="E17" s="9">
        <v>36.24</v>
      </c>
      <c r="F17" s="9">
        <v>35.58</v>
      </c>
      <c r="G17" s="9">
        <v>33.29</v>
      </c>
    </row>
    <row r="18" spans="2:7" ht="20.100000000000001" customHeight="1" x14ac:dyDescent="0.25">
      <c r="B18" s="5" t="s">
        <v>13</v>
      </c>
      <c r="C18" s="13">
        <f>C15-C17</f>
        <v>1.3399999999999928</v>
      </c>
      <c r="D18" s="13">
        <f t="shared" ref="D18:G18" si="6">D15-D17</f>
        <v>0.19999999999999574</v>
      </c>
      <c r="E18" s="13">
        <f t="shared" si="6"/>
        <v>0.96000000000000085</v>
      </c>
      <c r="F18" s="13">
        <f t="shared" si="6"/>
        <v>-17.54</v>
      </c>
      <c r="G18" s="13">
        <f t="shared" si="6"/>
        <v>-17.22</v>
      </c>
    </row>
    <row r="19" spans="2:7" ht="20.100000000000001" customHeight="1" x14ac:dyDescent="0.25">
      <c r="B19" s="5" t="s">
        <v>9</v>
      </c>
      <c r="C19" s="9">
        <v>-5.71</v>
      </c>
      <c r="D19" s="9">
        <v>4.6500000000000004</v>
      </c>
      <c r="E19" s="9">
        <v>7.62</v>
      </c>
      <c r="F19" s="9">
        <v>3.19</v>
      </c>
      <c r="G19" s="9">
        <v>3.19</v>
      </c>
    </row>
    <row r="20" spans="2:7" ht="20.100000000000001" customHeight="1" x14ac:dyDescent="0.25">
      <c r="B20" s="11" t="s">
        <v>14</v>
      </c>
      <c r="C20" s="18">
        <f>C18-C19</f>
        <v>7.0499999999999927</v>
      </c>
      <c r="D20" s="18">
        <f t="shared" ref="D20:G20" si="7">D18-D19</f>
        <v>-4.4500000000000046</v>
      </c>
      <c r="E20" s="18">
        <f t="shared" si="7"/>
        <v>-6.6599999999999993</v>
      </c>
      <c r="F20" s="18">
        <f t="shared" si="7"/>
        <v>-20.73</v>
      </c>
      <c r="G20" s="18">
        <f t="shared" si="7"/>
        <v>-20.41</v>
      </c>
    </row>
    <row r="21" spans="2:7" x14ac:dyDescent="0.25">
      <c r="C21" s="6"/>
      <c r="D21" s="6"/>
      <c r="E21" s="6"/>
      <c r="F21" s="6"/>
      <c r="G21" s="6"/>
    </row>
    <row r="22" spans="2:7" x14ac:dyDescent="0.25">
      <c r="C22" s="6"/>
      <c r="D22" s="6"/>
      <c r="E22" s="6"/>
      <c r="F22" s="6"/>
      <c r="G22" s="6"/>
    </row>
    <row r="23" spans="2:7" ht="19.5" customHeight="1" x14ac:dyDescent="0.25">
      <c r="B23" s="4" t="s">
        <v>19</v>
      </c>
      <c r="C23" s="8">
        <v>2018</v>
      </c>
      <c r="D23" s="8">
        <f>C23+1</f>
        <v>2019</v>
      </c>
      <c r="E23" s="8">
        <f t="shared" ref="E23:G23" si="8">D23+1</f>
        <v>2020</v>
      </c>
      <c r="F23" s="8">
        <f t="shared" si="8"/>
        <v>2021</v>
      </c>
      <c r="G23" s="20">
        <f t="shared" si="8"/>
        <v>2022</v>
      </c>
    </row>
    <row r="24" spans="2:7" ht="20.100000000000001" customHeight="1" x14ac:dyDescent="0.25">
      <c r="B24" s="19" t="s">
        <v>15</v>
      </c>
      <c r="C24" s="12">
        <f>C12/C7</f>
        <v>0.95488146826408349</v>
      </c>
      <c r="D24" s="12">
        <f t="shared" ref="D24:G24" si="9">D12/D7</f>
        <v>0.72405354829422774</v>
      </c>
      <c r="E24" s="12">
        <f t="shared" si="9"/>
        <v>0.87226753670473089</v>
      </c>
      <c r="F24" s="12">
        <f t="shared" si="9"/>
        <v>0.84864998761456523</v>
      </c>
      <c r="G24" s="12">
        <f t="shared" si="9"/>
        <v>0.5283914252986418</v>
      </c>
    </row>
    <row r="25" spans="2:7" ht="20.100000000000001" customHeight="1" x14ac:dyDescent="0.25">
      <c r="B25" s="19" t="s">
        <v>16</v>
      </c>
      <c r="C25" s="12">
        <f>C15/C7</f>
        <v>0.64899311751210798</v>
      </c>
      <c r="D25" s="12">
        <f t="shared" ref="D25:G25" si="10">D15/D7</f>
        <v>0.49057146969915072</v>
      </c>
      <c r="E25" s="12">
        <f t="shared" si="10"/>
        <v>0.60685154975530187</v>
      </c>
      <c r="F25" s="12">
        <f t="shared" si="10"/>
        <v>0.44686648501362397</v>
      </c>
      <c r="G25" s="12">
        <f t="shared" si="10"/>
        <v>0.26296841760759287</v>
      </c>
    </row>
    <row r="26" spans="2:7" ht="20.100000000000001" customHeight="1" x14ac:dyDescent="0.25">
      <c r="B26" s="19" t="s">
        <v>17</v>
      </c>
      <c r="C26" s="12">
        <f>C20/C7</f>
        <v>0.17970940606678545</v>
      </c>
      <c r="D26" s="12">
        <f t="shared" ref="D26:G26" si="11">D20/D7</f>
        <v>-6.4056427234777669E-2</v>
      </c>
      <c r="E26" s="12">
        <f t="shared" si="11"/>
        <v>-0.10864600326264273</v>
      </c>
      <c r="F26" s="12">
        <f t="shared" si="11"/>
        <v>-0.51350012385434729</v>
      </c>
      <c r="G26" s="12">
        <f t="shared" si="11"/>
        <v>-0.3339878906889216</v>
      </c>
    </row>
    <row r="27" spans="2:7" ht="20.100000000000001" customHeight="1" x14ac:dyDescent="0.25">
      <c r="B27" s="19" t="s">
        <v>18</v>
      </c>
      <c r="D27" s="12">
        <f>D7/C7-1</f>
        <v>0.77083864389497836</v>
      </c>
      <c r="E27" s="12">
        <f t="shared" ref="E27:G27" si="12">E7/D7-1</f>
        <v>-0.11760472146250178</v>
      </c>
      <c r="F27" s="12">
        <f t="shared" si="12"/>
        <v>-0.34143556280587273</v>
      </c>
      <c r="G27" s="12">
        <f t="shared" si="12"/>
        <v>0.51374783254892264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showGridLines="0" workbookViewId="0"/>
  </sheetViews>
  <sheetFormatPr defaultRowHeight="15" x14ac:dyDescent="0.25"/>
  <cols>
    <col min="1" max="1" width="7.140625" bestFit="1" customWidth="1"/>
    <col min="2" max="2" width="37" customWidth="1"/>
    <col min="3" max="22" width="16.7109375" customWidth="1"/>
  </cols>
  <sheetData>
    <row r="2" spans="1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1.25" customHeight="1" x14ac:dyDescent="0.25"/>
    <row r="4" spans="1:22" ht="16.5" customHeight="1" x14ac:dyDescent="0.25">
      <c r="B4" s="4" t="s">
        <v>21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.75" customHeight="1" x14ac:dyDescent="0.25">
      <c r="C5" s="26">
        <v>1</v>
      </c>
      <c r="D5" s="26">
        <f>C5+1</f>
        <v>2</v>
      </c>
      <c r="E5" s="26">
        <f t="shared" ref="E5:V5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  <c r="S5" s="26">
        <f t="shared" si="0"/>
        <v>17</v>
      </c>
      <c r="T5" s="26">
        <f t="shared" si="0"/>
        <v>18</v>
      </c>
      <c r="U5" s="26">
        <f t="shared" si="0"/>
        <v>19</v>
      </c>
      <c r="V5" s="26">
        <f t="shared" si="0"/>
        <v>20</v>
      </c>
    </row>
    <row r="6" spans="1:22" ht="17.25" customHeight="1" x14ac:dyDescent="0.25">
      <c r="B6" s="4" t="s">
        <v>10</v>
      </c>
      <c r="C6" s="23">
        <v>2023</v>
      </c>
      <c r="D6" s="23">
        <f>C6+1</f>
        <v>2024</v>
      </c>
      <c r="E6" s="23">
        <f t="shared" ref="E6:V6" si="1">D6+1</f>
        <v>2025</v>
      </c>
      <c r="F6" s="23">
        <f t="shared" si="1"/>
        <v>2026</v>
      </c>
      <c r="G6" s="23">
        <f t="shared" si="1"/>
        <v>2027</v>
      </c>
      <c r="H6" s="23">
        <f t="shared" si="1"/>
        <v>2028</v>
      </c>
      <c r="I6" s="23">
        <f t="shared" si="1"/>
        <v>2029</v>
      </c>
      <c r="J6" s="23">
        <f t="shared" si="1"/>
        <v>2030</v>
      </c>
      <c r="K6" s="23">
        <f t="shared" si="1"/>
        <v>2031</v>
      </c>
      <c r="L6" s="23">
        <f t="shared" si="1"/>
        <v>2032</v>
      </c>
      <c r="M6" s="23">
        <f t="shared" si="1"/>
        <v>2033</v>
      </c>
      <c r="N6" s="23">
        <f t="shared" si="1"/>
        <v>2034</v>
      </c>
      <c r="O6" s="23">
        <f t="shared" si="1"/>
        <v>2035</v>
      </c>
      <c r="P6" s="23">
        <f t="shared" si="1"/>
        <v>2036</v>
      </c>
      <c r="Q6" s="23">
        <f t="shared" si="1"/>
        <v>2037</v>
      </c>
      <c r="R6" s="23">
        <f t="shared" si="1"/>
        <v>2038</v>
      </c>
      <c r="S6" s="23">
        <f t="shared" si="1"/>
        <v>2039</v>
      </c>
      <c r="T6" s="23">
        <f t="shared" si="1"/>
        <v>2040</v>
      </c>
      <c r="U6" s="23">
        <f t="shared" si="1"/>
        <v>2041</v>
      </c>
      <c r="V6" s="23">
        <f t="shared" si="1"/>
        <v>2042</v>
      </c>
    </row>
    <row r="7" spans="1:22" ht="12" customHeight="1" x14ac:dyDescent="0.25"/>
    <row r="8" spans="1:22" ht="15" customHeight="1" x14ac:dyDescent="0.25">
      <c r="B8" s="5" t="s">
        <v>0</v>
      </c>
      <c r="C8" s="13">
        <f>'Revenue &amp; Cost'!C8</f>
        <v>63.099617126399998</v>
      </c>
      <c r="D8" s="13">
        <f>'Revenue &amp; Cost'!D8</f>
        <v>63.099617126399998</v>
      </c>
      <c r="E8" s="13">
        <f>'Revenue &amp; Cost'!E8</f>
        <v>62.675037670399995</v>
      </c>
      <c r="F8" s="13">
        <f>'Revenue &amp; Cost'!F8</f>
        <v>60.368179046400002</v>
      </c>
      <c r="G8" s="13">
        <f>'Revenue &amp; Cost'!G8</f>
        <v>60.368179046400002</v>
      </c>
      <c r="H8" s="13">
        <f>'Revenue &amp; Cost'!H8</f>
        <v>60.368179046400002</v>
      </c>
      <c r="I8" s="13">
        <f>'Revenue &amp; Cost'!I8</f>
        <v>60.368179046400002</v>
      </c>
      <c r="J8" s="13">
        <f>'Revenue &amp; Cost'!J8</f>
        <v>60.368179046400002</v>
      </c>
      <c r="K8" s="13">
        <f>'Revenue &amp; Cost'!K8</f>
        <v>60.368179046400002</v>
      </c>
      <c r="L8" s="13">
        <f>'Revenue &amp; Cost'!L8</f>
        <v>60.368179046400002</v>
      </c>
      <c r="M8" s="13">
        <f>'Revenue &amp; Cost'!M8</f>
        <v>60.368179046400002</v>
      </c>
      <c r="N8" s="13">
        <f>'Revenue &amp; Cost'!N8</f>
        <v>60.368179046400002</v>
      </c>
      <c r="O8" s="13">
        <f>'Revenue &amp; Cost'!O8</f>
        <v>60.368179046400002</v>
      </c>
      <c r="P8" s="13">
        <f>'Revenue &amp; Cost'!P8</f>
        <v>60.368179046400002</v>
      </c>
      <c r="Q8" s="13">
        <f>'Revenue &amp; Cost'!Q8</f>
        <v>60.368179046400002</v>
      </c>
      <c r="R8" s="13">
        <f>'Revenue &amp; Cost'!R8</f>
        <v>60.368179046400002</v>
      </c>
      <c r="S8" s="13">
        <f>'Revenue &amp; Cost'!S8</f>
        <v>60.368179046400002</v>
      </c>
      <c r="T8" s="13">
        <f>'Revenue &amp; Cost'!T8</f>
        <v>60.368179046400002</v>
      </c>
      <c r="U8" s="13">
        <f>'Revenue &amp; Cost'!U8</f>
        <v>60.368179046400002</v>
      </c>
      <c r="V8" s="13">
        <f>'Revenue &amp; Cost'!V8</f>
        <v>33.982487193599994</v>
      </c>
    </row>
    <row r="9" spans="1:22" ht="20.100000000000001" customHeight="1" x14ac:dyDescent="0.25">
      <c r="B9" s="5" t="s">
        <v>26</v>
      </c>
      <c r="C9" s="13">
        <f>'Revenue &amp; Cost'!C12</f>
        <v>6.5429479200000005</v>
      </c>
      <c r="D9" s="13">
        <f>'Revenue &amp; Cost'!D12</f>
        <v>6.8564360600000009</v>
      </c>
      <c r="E9" s="13">
        <f>'Revenue &amp; Cost'!E12</f>
        <v>7.1860714150000025</v>
      </c>
      <c r="F9" s="13">
        <f>'Revenue &amp; Cost'!F12</f>
        <v>7.532661345750002</v>
      </c>
      <c r="G9" s="13">
        <f>'Revenue &amp; Cost'!G12</f>
        <v>7.8970535810375022</v>
      </c>
      <c r="H9" s="13">
        <f>'Revenue &amp; Cost'!H12</f>
        <v>8.2831719128893777</v>
      </c>
      <c r="I9" s="13">
        <f>'Revenue &amp; Cost'!I12</f>
        <v>8.6935430982938477</v>
      </c>
      <c r="J9" s="13">
        <f>'Revenue &amp; Cost'!J12</f>
        <v>9.1245226764885405</v>
      </c>
      <c r="K9" s="13">
        <f>'Revenue &amp; Cost'!K12</f>
        <v>9.5771410671129686</v>
      </c>
      <c r="L9" s="13">
        <f>'Revenue &amp; Cost'!L12</f>
        <v>10.052480210788616</v>
      </c>
      <c r="M9" s="13">
        <f>'Revenue &amp; Cost'!M12</f>
        <v>10.551676145168049</v>
      </c>
      <c r="N9" s="13">
        <f>'Revenue &amp; Cost'!N12</f>
        <v>11.075921709786449</v>
      </c>
      <c r="O9" s="13">
        <f>'Revenue &amp; Cost'!O12</f>
        <v>11.626469386155772</v>
      </c>
      <c r="P9" s="13">
        <f>'Revenue &amp; Cost'!P12</f>
        <v>12.204634279863562</v>
      </c>
      <c r="Q9" s="13">
        <f>'Revenue &amp; Cost'!Q12</f>
        <v>12.811797251776742</v>
      </c>
      <c r="R9" s="13">
        <f>'Revenue &amp; Cost'!R12</f>
        <v>13.449408205805579</v>
      </c>
      <c r="S9" s="13">
        <f>'Revenue &amp; Cost'!S12</f>
        <v>14.118989541055857</v>
      </c>
      <c r="T9" s="13">
        <f>'Revenue &amp; Cost'!T12</f>
        <v>14.822139776588651</v>
      </c>
      <c r="U9" s="13">
        <f>'Revenue &amp; Cost'!U12</f>
        <v>15.560537357418085</v>
      </c>
      <c r="V9" s="13">
        <f>'Revenue &amp; Cost'!V12</f>
        <v>8.4674666836593904</v>
      </c>
    </row>
    <row r="10" spans="1:22" ht="19.5" customHeight="1" x14ac:dyDescent="0.25">
      <c r="B10" s="11" t="s">
        <v>4</v>
      </c>
      <c r="C10" s="18">
        <f>C8-C9</f>
        <v>56.556669206399995</v>
      </c>
      <c r="D10" s="18">
        <f t="shared" ref="D10:V10" si="2">D8-D9</f>
        <v>56.243181066399998</v>
      </c>
      <c r="E10" s="18">
        <f t="shared" si="2"/>
        <v>55.488966255399994</v>
      </c>
      <c r="F10" s="18">
        <f t="shared" si="2"/>
        <v>52.835517700650001</v>
      </c>
      <c r="G10" s="18">
        <f t="shared" si="2"/>
        <v>52.471125465362498</v>
      </c>
      <c r="H10" s="18">
        <f t="shared" si="2"/>
        <v>52.085007133510622</v>
      </c>
      <c r="I10" s="18">
        <f t="shared" si="2"/>
        <v>51.674635948106157</v>
      </c>
      <c r="J10" s="18">
        <f t="shared" si="2"/>
        <v>51.243656369911463</v>
      </c>
      <c r="K10" s="18">
        <f t="shared" si="2"/>
        <v>50.791037979287033</v>
      </c>
      <c r="L10" s="18">
        <f t="shared" si="2"/>
        <v>50.315698835611386</v>
      </c>
      <c r="M10" s="18">
        <f t="shared" si="2"/>
        <v>49.816502901231956</v>
      </c>
      <c r="N10" s="18">
        <f t="shared" si="2"/>
        <v>49.292257336613552</v>
      </c>
      <c r="O10" s="18">
        <f t="shared" si="2"/>
        <v>48.741709660244226</v>
      </c>
      <c r="P10" s="18">
        <f t="shared" si="2"/>
        <v>48.16354476653644</v>
      </c>
      <c r="Q10" s="18">
        <f t="shared" si="2"/>
        <v>47.556381794623263</v>
      </c>
      <c r="R10" s="18">
        <f t="shared" si="2"/>
        <v>46.918770840594419</v>
      </c>
      <c r="S10" s="18">
        <f t="shared" si="2"/>
        <v>46.249189505344148</v>
      </c>
      <c r="T10" s="18">
        <f t="shared" si="2"/>
        <v>45.546039269811352</v>
      </c>
      <c r="U10" s="18">
        <f t="shared" si="2"/>
        <v>44.807641688981917</v>
      </c>
      <c r="V10" s="18">
        <f t="shared" si="2"/>
        <v>25.515020509940605</v>
      </c>
    </row>
    <row r="11" spans="1:22" ht="20.100000000000001" customHeight="1" x14ac:dyDescent="0.25">
      <c r="B11" s="5" t="s">
        <v>12</v>
      </c>
      <c r="C11" s="13">
        <f>'Revenue &amp; Cost'!C18</f>
        <v>14.765000000000001</v>
      </c>
      <c r="D11" s="13">
        <f>'Revenue &amp; Cost'!D18</f>
        <v>14.765000000000001</v>
      </c>
      <c r="E11" s="13">
        <f>'Revenue &amp; Cost'!E18</f>
        <v>14.765000000000001</v>
      </c>
      <c r="F11" s="13">
        <f>'Revenue &amp; Cost'!F18</f>
        <v>14.765000000000001</v>
      </c>
      <c r="G11" s="13">
        <f>'Revenue &amp; Cost'!G18</f>
        <v>14.765000000000001</v>
      </c>
      <c r="H11" s="13">
        <f>'Revenue &amp; Cost'!H18</f>
        <v>14.765000000000001</v>
      </c>
      <c r="I11" s="13">
        <f>'Revenue &amp; Cost'!I18</f>
        <v>14.765000000000001</v>
      </c>
      <c r="J11" s="13">
        <f>'Revenue &amp; Cost'!J18</f>
        <v>14.765000000000001</v>
      </c>
      <c r="K11" s="13">
        <f>'Revenue &amp; Cost'!K18</f>
        <v>14.765000000000001</v>
      </c>
      <c r="L11" s="13">
        <f>'Revenue &amp; Cost'!L18</f>
        <v>14.765000000000001</v>
      </c>
      <c r="M11" s="13">
        <f>'Revenue &amp; Cost'!M18</f>
        <v>14.765000000000001</v>
      </c>
      <c r="N11" s="13">
        <f>'Revenue &amp; Cost'!N18</f>
        <v>14.765000000000001</v>
      </c>
      <c r="O11" s="13">
        <f>'Revenue &amp; Cost'!O18</f>
        <v>14.765000000000001</v>
      </c>
      <c r="P11" s="13">
        <f>'Revenue &amp; Cost'!P18</f>
        <v>14.765000000000001</v>
      </c>
      <c r="Q11" s="13">
        <f>'Revenue &amp; Cost'!Q18</f>
        <v>14.765000000000001</v>
      </c>
      <c r="R11" s="13">
        <f>'Revenue &amp; Cost'!R18</f>
        <v>14.765000000000001</v>
      </c>
      <c r="S11" s="13">
        <f>'Revenue &amp; Cost'!S18</f>
        <v>14.765000000000001</v>
      </c>
      <c r="T11" s="13">
        <f>'Revenue &amp; Cost'!T18</f>
        <v>14.765000000000001</v>
      </c>
      <c r="U11" s="13">
        <f>'Revenue &amp; Cost'!U18</f>
        <v>14.765000000000001</v>
      </c>
      <c r="V11" s="13">
        <f>'Revenue &amp; Cost'!V18</f>
        <v>14.765000000000001</v>
      </c>
    </row>
    <row r="12" spans="1:22" ht="20.100000000000001" customHeight="1" x14ac:dyDescent="0.25">
      <c r="B12" s="14" t="s">
        <v>6</v>
      </c>
      <c r="C12" s="15">
        <f>C10-C11</f>
        <v>41.791669206399995</v>
      </c>
      <c r="D12" s="15">
        <f t="shared" ref="D12:V12" si="3">D10-D11</f>
        <v>41.478181066399998</v>
      </c>
      <c r="E12" s="15">
        <f t="shared" si="3"/>
        <v>40.723966255399993</v>
      </c>
      <c r="F12" s="15">
        <f t="shared" si="3"/>
        <v>38.070517700650001</v>
      </c>
      <c r="G12" s="15">
        <f t="shared" si="3"/>
        <v>37.706125465362497</v>
      </c>
      <c r="H12" s="15">
        <f t="shared" si="3"/>
        <v>37.320007133510622</v>
      </c>
      <c r="I12" s="15">
        <f t="shared" si="3"/>
        <v>36.909635948106157</v>
      </c>
      <c r="J12" s="15">
        <f t="shared" si="3"/>
        <v>36.478656369911462</v>
      </c>
      <c r="K12" s="15">
        <f t="shared" si="3"/>
        <v>36.026037979287032</v>
      </c>
      <c r="L12" s="15">
        <f t="shared" si="3"/>
        <v>35.550698835611385</v>
      </c>
      <c r="M12" s="15">
        <f t="shared" si="3"/>
        <v>35.051502901231956</v>
      </c>
      <c r="N12" s="15">
        <f t="shared" si="3"/>
        <v>34.527257336613552</v>
      </c>
      <c r="O12" s="15">
        <f t="shared" si="3"/>
        <v>33.976709660244225</v>
      </c>
      <c r="P12" s="15">
        <f t="shared" si="3"/>
        <v>33.398544766536439</v>
      </c>
      <c r="Q12" s="15">
        <f t="shared" si="3"/>
        <v>32.791381794623263</v>
      </c>
      <c r="R12" s="15">
        <f t="shared" si="3"/>
        <v>32.153770840594419</v>
      </c>
      <c r="S12" s="15">
        <f t="shared" si="3"/>
        <v>31.484189505344148</v>
      </c>
      <c r="T12" s="15">
        <f t="shared" si="3"/>
        <v>30.781039269811352</v>
      </c>
      <c r="U12" s="15">
        <f t="shared" si="3"/>
        <v>30.042641688981917</v>
      </c>
      <c r="V12" s="15">
        <f t="shared" si="3"/>
        <v>10.750020509940605</v>
      </c>
    </row>
    <row r="13" spans="1:22" ht="20.100000000000001" customHeight="1" x14ac:dyDescent="0.25">
      <c r="B13" s="5" t="s">
        <v>28</v>
      </c>
      <c r="C13" s="13">
        <f>'Revenue &amp; Cost'!C30</f>
        <v>26.286135365065494</v>
      </c>
      <c r="D13" s="13">
        <f>'Revenue &amp; Cost'!D30</f>
        <v>24.269820973674872</v>
      </c>
      <c r="E13" s="13">
        <f>'Revenue &amp; Cost'!E30</f>
        <v>22.11568990927222</v>
      </c>
      <c r="F13" s="13">
        <f>'Revenue &amp; Cost'!F30</f>
        <v>19.808653783415924</v>
      </c>
      <c r="G13" s="13">
        <f>'Revenue &amp; Cost'!G30</f>
        <v>17.468611282925323</v>
      </c>
      <c r="H13" s="13">
        <f>'Revenue &amp; Cost'!H30</f>
        <v>15.030989042410187</v>
      </c>
      <c r="I13" s="13">
        <f>'Revenue &amp; Cost'!I30</f>
        <v>12.472987337369297</v>
      </c>
      <c r="J13" s="13">
        <f>'Revenue &amp; Cost'!J30</f>
        <v>9.8161644064513638</v>
      </c>
      <c r="K13" s="13">
        <f>'Revenue &amp; Cost'!K30</f>
        <v>7.159827978987531</v>
      </c>
      <c r="L13" s="13">
        <f>'Revenue &amp; Cost'!L30</f>
        <v>4.5407523801505096</v>
      </c>
      <c r="M13" s="13">
        <f>'Revenue &amp; Cost'!M30</f>
        <v>2.7429631513716344</v>
      </c>
      <c r="N13" s="13">
        <f>'Revenue &amp; Cost'!N30</f>
        <v>1.7619444861538163</v>
      </c>
      <c r="O13" s="13">
        <f>'Revenue &amp; Cost'!O30</f>
        <v>1.6155074939251111</v>
      </c>
      <c r="P13" s="13">
        <f>'Revenue &amp; Cost'!P30</f>
        <v>1.6285467170849661</v>
      </c>
      <c r="Q13" s="13">
        <f>'Revenue &amp; Cost'!Q30</f>
        <v>1.6422379014028148</v>
      </c>
      <c r="R13" s="13">
        <f>'Revenue &amp; Cost'!R30</f>
        <v>1.6566136449365554</v>
      </c>
      <c r="S13" s="13">
        <f>'Revenue &amp; Cost'!S30</f>
        <v>1.6717081756469832</v>
      </c>
      <c r="T13" s="13">
        <f>'Revenue &amp; Cost'!T30</f>
        <v>1.6875574328929326</v>
      </c>
      <c r="U13" s="13">
        <f>'Revenue &amp; Cost'!U30</f>
        <v>1.7041991530011793</v>
      </c>
      <c r="V13" s="13">
        <f>'Revenue &amp; Cost'!V30</f>
        <v>0.93502100252287079</v>
      </c>
    </row>
    <row r="14" spans="1:22" ht="20.100000000000001" customHeight="1" x14ac:dyDescent="0.25">
      <c r="B14" s="5" t="s">
        <v>32</v>
      </c>
      <c r="C14" s="13">
        <f>C12-C13</f>
        <v>15.505533841334501</v>
      </c>
      <c r="D14" s="13">
        <f t="shared" ref="D14:V14" si="4">D12-D13</f>
        <v>17.208360092725126</v>
      </c>
      <c r="E14" s="13">
        <f t="shared" si="4"/>
        <v>18.608276346127774</v>
      </c>
      <c r="F14" s="13">
        <f t="shared" si="4"/>
        <v>18.261863917234077</v>
      </c>
      <c r="G14" s="13">
        <f t="shared" si="4"/>
        <v>20.237514182437174</v>
      </c>
      <c r="H14" s="13">
        <f t="shared" si="4"/>
        <v>22.289018091100434</v>
      </c>
      <c r="I14" s="13">
        <f t="shared" si="4"/>
        <v>24.43664861073686</v>
      </c>
      <c r="J14" s="13">
        <f t="shared" si="4"/>
        <v>26.662491963460099</v>
      </c>
      <c r="K14" s="13">
        <f t="shared" si="4"/>
        <v>28.866210000299503</v>
      </c>
      <c r="L14" s="13">
        <f t="shared" si="4"/>
        <v>31.009946455460877</v>
      </c>
      <c r="M14" s="13">
        <f t="shared" si="4"/>
        <v>32.308539749860323</v>
      </c>
      <c r="N14" s="13">
        <f t="shared" si="4"/>
        <v>32.765312850459736</v>
      </c>
      <c r="O14" s="13">
        <f t="shared" si="4"/>
        <v>32.361202166319117</v>
      </c>
      <c r="P14" s="13">
        <f t="shared" si="4"/>
        <v>31.769998049451473</v>
      </c>
      <c r="Q14" s="13">
        <f t="shared" si="4"/>
        <v>31.149143893220447</v>
      </c>
      <c r="R14" s="13">
        <f t="shared" si="4"/>
        <v>30.497157195657863</v>
      </c>
      <c r="S14" s="13">
        <f t="shared" si="4"/>
        <v>29.812481329697164</v>
      </c>
      <c r="T14" s="13">
        <f t="shared" si="4"/>
        <v>29.093481836918418</v>
      </c>
      <c r="U14" s="13">
        <f t="shared" si="4"/>
        <v>28.338442535980736</v>
      </c>
      <c r="V14" s="13">
        <f t="shared" si="4"/>
        <v>9.814999507417733</v>
      </c>
    </row>
    <row r="15" spans="1:22" ht="20.100000000000001" customHeight="1" x14ac:dyDescent="0.25">
      <c r="A15" s="45">
        <f>'Tax Rate'!C11</f>
        <v>0.25168000000000001</v>
      </c>
      <c r="B15" s="5" t="s">
        <v>9</v>
      </c>
      <c r="C15" s="13">
        <v>0</v>
      </c>
      <c r="D15" s="13">
        <v>0</v>
      </c>
      <c r="E15" s="13">
        <v>0</v>
      </c>
      <c r="F15" s="13">
        <v>0</v>
      </c>
      <c r="G15" s="13">
        <f>G14*$A$15</f>
        <v>5.0933775694357886</v>
      </c>
      <c r="H15" s="13">
        <f t="shared" ref="H15:V15" si="5">H14*$A$15</f>
        <v>5.6097000731681579</v>
      </c>
      <c r="I15" s="13">
        <f t="shared" si="5"/>
        <v>6.1502157223502536</v>
      </c>
      <c r="J15" s="13">
        <f t="shared" si="5"/>
        <v>6.7104159773636383</v>
      </c>
      <c r="K15" s="13">
        <f t="shared" si="5"/>
        <v>7.2650477328753791</v>
      </c>
      <c r="L15" s="13">
        <f t="shared" si="5"/>
        <v>7.8045833239103937</v>
      </c>
      <c r="M15" s="13">
        <f t="shared" si="5"/>
        <v>8.1314132842448466</v>
      </c>
      <c r="N15" s="13">
        <f t="shared" si="5"/>
        <v>8.2463739382037069</v>
      </c>
      <c r="O15" s="13">
        <f t="shared" si="5"/>
        <v>8.1446673612191951</v>
      </c>
      <c r="P15" s="13">
        <f t="shared" si="5"/>
        <v>7.995873109085947</v>
      </c>
      <c r="Q15" s="13">
        <f t="shared" si="5"/>
        <v>7.8396165350457228</v>
      </c>
      <c r="R15" s="13">
        <f t="shared" si="5"/>
        <v>7.6755245230031717</v>
      </c>
      <c r="S15" s="13">
        <f t="shared" si="5"/>
        <v>7.5032053010581823</v>
      </c>
      <c r="T15" s="13">
        <f t="shared" si="5"/>
        <v>7.3222475087156278</v>
      </c>
      <c r="U15" s="13">
        <f t="shared" si="5"/>
        <v>7.1322192174556323</v>
      </c>
      <c r="V15" s="13">
        <f t="shared" si="5"/>
        <v>2.4702390760268953</v>
      </c>
    </row>
    <row r="16" spans="1:22" ht="20.100000000000001" customHeight="1" x14ac:dyDescent="0.25">
      <c r="B16" s="11" t="s">
        <v>33</v>
      </c>
      <c r="C16" s="18">
        <f>C14-C15</f>
        <v>15.505533841334501</v>
      </c>
      <c r="D16" s="18">
        <f t="shared" ref="D16:V16" si="6">D14-D15</f>
        <v>17.208360092725126</v>
      </c>
      <c r="E16" s="18">
        <f t="shared" si="6"/>
        <v>18.608276346127774</v>
      </c>
      <c r="F16" s="18">
        <f t="shared" si="6"/>
        <v>18.261863917234077</v>
      </c>
      <c r="G16" s="18">
        <f t="shared" si="6"/>
        <v>15.144136613001386</v>
      </c>
      <c r="H16" s="18">
        <f t="shared" si="6"/>
        <v>16.679318017932275</v>
      </c>
      <c r="I16" s="18">
        <f t="shared" si="6"/>
        <v>18.286432888386607</v>
      </c>
      <c r="J16" s="18">
        <f t="shared" si="6"/>
        <v>19.95207598609646</v>
      </c>
      <c r="K16" s="18">
        <f t="shared" si="6"/>
        <v>21.601162267424122</v>
      </c>
      <c r="L16" s="18">
        <f t="shared" si="6"/>
        <v>23.205363131550484</v>
      </c>
      <c r="M16" s="18">
        <f t="shared" si="6"/>
        <v>24.177126465615476</v>
      </c>
      <c r="N16" s="18">
        <f t="shared" si="6"/>
        <v>24.518938912256029</v>
      </c>
      <c r="O16" s="18">
        <f t="shared" si="6"/>
        <v>24.216534805099922</v>
      </c>
      <c r="P16" s="18">
        <f t="shared" si="6"/>
        <v>23.774124940365525</v>
      </c>
      <c r="Q16" s="18">
        <f t="shared" si="6"/>
        <v>23.309527358174726</v>
      </c>
      <c r="R16" s="18">
        <f t="shared" si="6"/>
        <v>22.82163267265469</v>
      </c>
      <c r="S16" s="18">
        <f t="shared" si="6"/>
        <v>22.309276028638983</v>
      </c>
      <c r="T16" s="18">
        <f t="shared" si="6"/>
        <v>21.771234328202791</v>
      </c>
      <c r="U16" s="18">
        <f t="shared" si="6"/>
        <v>21.206223318525105</v>
      </c>
      <c r="V16" s="18">
        <f t="shared" si="6"/>
        <v>7.3447604313908377</v>
      </c>
    </row>
    <row r="17" spans="2:22" ht="20.100000000000001" customHeight="1" x14ac:dyDescent="0.25">
      <c r="B17" s="21"/>
      <c r="C17" s="22"/>
      <c r="D17" s="22"/>
      <c r="E17" s="22"/>
      <c r="F17" s="22"/>
      <c r="G17" s="22"/>
    </row>
    <row r="18" spans="2:22" x14ac:dyDescent="0.25">
      <c r="C18" s="6"/>
      <c r="D18" s="6"/>
      <c r="E18" s="6"/>
      <c r="F18" s="6"/>
      <c r="G18" s="6"/>
    </row>
    <row r="19" spans="2:22" ht="19.5" customHeight="1" x14ac:dyDescent="0.25">
      <c r="B19" s="4" t="s">
        <v>34</v>
      </c>
      <c r="C19" s="23">
        <v>2023</v>
      </c>
      <c r="D19" s="23">
        <f>C19+1</f>
        <v>2024</v>
      </c>
      <c r="E19" s="23">
        <f t="shared" ref="E19" si="7">D19+1</f>
        <v>2025</v>
      </c>
      <c r="F19" s="23">
        <f t="shared" ref="F19" si="8">E19+1</f>
        <v>2026</v>
      </c>
      <c r="G19" s="23">
        <f t="shared" ref="G19" si="9">F19+1</f>
        <v>2027</v>
      </c>
      <c r="H19" s="23">
        <f t="shared" ref="H19" si="10">G19+1</f>
        <v>2028</v>
      </c>
      <c r="I19" s="23">
        <f t="shared" ref="I19" si="11">H19+1</f>
        <v>2029</v>
      </c>
      <c r="J19" s="23">
        <f t="shared" ref="J19" si="12">I19+1</f>
        <v>2030</v>
      </c>
      <c r="K19" s="23">
        <f t="shared" ref="K19" si="13">J19+1</f>
        <v>2031</v>
      </c>
      <c r="L19" s="23">
        <f t="shared" ref="L19" si="14">K19+1</f>
        <v>2032</v>
      </c>
      <c r="M19" s="23">
        <f t="shared" ref="M19" si="15">L19+1</f>
        <v>2033</v>
      </c>
      <c r="N19" s="23">
        <f t="shared" ref="N19" si="16">M19+1</f>
        <v>2034</v>
      </c>
      <c r="O19" s="23">
        <f t="shared" ref="O19" si="17">N19+1</f>
        <v>2035</v>
      </c>
      <c r="P19" s="23">
        <f t="shared" ref="P19" si="18">O19+1</f>
        <v>2036</v>
      </c>
      <c r="Q19" s="23">
        <f t="shared" ref="Q19" si="19">P19+1</f>
        <v>2037</v>
      </c>
      <c r="R19" s="23">
        <f t="shared" ref="R19" si="20">Q19+1</f>
        <v>2038</v>
      </c>
      <c r="S19" s="23">
        <f t="shared" ref="S19" si="21">R19+1</f>
        <v>2039</v>
      </c>
      <c r="T19" s="23">
        <f t="shared" ref="T19" si="22">S19+1</f>
        <v>2040</v>
      </c>
      <c r="U19" s="23">
        <f t="shared" ref="U19" si="23">T19+1</f>
        <v>2041</v>
      </c>
      <c r="V19" s="23">
        <f t="shared" ref="V19" si="24">U19+1</f>
        <v>2042</v>
      </c>
    </row>
    <row r="20" spans="2:22" ht="20.100000000000001" customHeight="1" x14ac:dyDescent="0.25">
      <c r="B20" s="19" t="s">
        <v>15</v>
      </c>
      <c r="C20" s="12">
        <f>C10/C8</f>
        <v>0.89630764467408275</v>
      </c>
      <c r="D20" s="12">
        <f>D10/D8</f>
        <v>0.8913394982054279</v>
      </c>
      <c r="E20" s="12">
        <f t="shared" ref="E20:V20" si="25">E10/E8</f>
        <v>0.88534396336878762</v>
      </c>
      <c r="F20" s="12">
        <f t="shared" si="25"/>
        <v>0.87522132579218148</v>
      </c>
      <c r="G20" s="12">
        <f t="shared" si="25"/>
        <v>0.86918516168977544</v>
      </c>
      <c r="H20" s="12">
        <f t="shared" si="25"/>
        <v>0.86278910439682477</v>
      </c>
      <c r="I20" s="12">
        <f t="shared" si="25"/>
        <v>0.85599129813718844</v>
      </c>
      <c r="J20" s="12">
        <f t="shared" si="25"/>
        <v>0.84885211347065348</v>
      </c>
      <c r="K20" s="12">
        <f t="shared" si="25"/>
        <v>0.84135448147687519</v>
      </c>
      <c r="L20" s="12">
        <f t="shared" si="25"/>
        <v>0.83348047978949125</v>
      </c>
      <c r="M20" s="12">
        <f t="shared" si="25"/>
        <v>0.82521128992382142</v>
      </c>
      <c r="N20" s="12">
        <f t="shared" si="25"/>
        <v>0.81652715247095142</v>
      </c>
      <c r="O20" s="12">
        <f t="shared" si="25"/>
        <v>0.80740732005152127</v>
      </c>
      <c r="P20" s="12">
        <f t="shared" si="25"/>
        <v>0.79783000791720293</v>
      </c>
      <c r="Q20" s="12">
        <f t="shared" si="25"/>
        <v>0.78777234208225211</v>
      </c>
      <c r="R20" s="12">
        <f t="shared" si="25"/>
        <v>0.77721030486163678</v>
      </c>
      <c r="S20" s="12">
        <f t="shared" si="25"/>
        <v>0.76611867768607433</v>
      </c>
      <c r="T20" s="12">
        <f t="shared" si="25"/>
        <v>0.75447098105781685</v>
      </c>
      <c r="U20" s="12">
        <f t="shared" si="25"/>
        <v>0.7422394115042299</v>
      </c>
      <c r="V20" s="12">
        <f t="shared" si="25"/>
        <v>0.75082851836536302</v>
      </c>
    </row>
    <row r="21" spans="2:22" ht="20.100000000000001" customHeight="1" x14ac:dyDescent="0.25">
      <c r="B21" s="19" t="s">
        <v>16</v>
      </c>
      <c r="C21" s="12">
        <f>C12/C8</f>
        <v>0.66231256399993188</v>
      </c>
      <c r="D21" s="12">
        <f>D12/D8</f>
        <v>0.65734441753127704</v>
      </c>
      <c r="E21" s="12">
        <f t="shared" ref="E21:V21" si="26">E12/E8</f>
        <v>0.64976373001261079</v>
      </c>
      <c r="F21" s="12">
        <f t="shared" si="26"/>
        <v>0.63063882830370543</v>
      </c>
      <c r="G21" s="12">
        <f t="shared" si="26"/>
        <v>0.6246026642012994</v>
      </c>
      <c r="H21" s="12">
        <f t="shared" si="26"/>
        <v>0.61820660690834872</v>
      </c>
      <c r="I21" s="12">
        <f t="shared" si="26"/>
        <v>0.61140880064871239</v>
      </c>
      <c r="J21" s="12">
        <f t="shared" si="26"/>
        <v>0.60426961598217743</v>
      </c>
      <c r="K21" s="12">
        <f t="shared" si="26"/>
        <v>0.59677198398839915</v>
      </c>
      <c r="L21" s="12">
        <f t="shared" si="26"/>
        <v>0.5888979823010152</v>
      </c>
      <c r="M21" s="12">
        <f t="shared" si="26"/>
        <v>0.58062879243534549</v>
      </c>
      <c r="N21" s="12">
        <f t="shared" si="26"/>
        <v>0.57194465498247549</v>
      </c>
      <c r="O21" s="12">
        <f t="shared" si="26"/>
        <v>0.56282482256304522</v>
      </c>
      <c r="P21" s="12">
        <f t="shared" si="26"/>
        <v>0.55324751042872689</v>
      </c>
      <c r="Q21" s="12">
        <f t="shared" si="26"/>
        <v>0.54318984459377606</v>
      </c>
      <c r="R21" s="12">
        <f t="shared" si="26"/>
        <v>0.53262780737316073</v>
      </c>
      <c r="S21" s="12">
        <f t="shared" si="26"/>
        <v>0.52153618019759829</v>
      </c>
      <c r="T21" s="12">
        <f t="shared" si="26"/>
        <v>0.5098884835693408</v>
      </c>
      <c r="U21" s="12">
        <f t="shared" si="26"/>
        <v>0.49765691401575379</v>
      </c>
      <c r="V21" s="12">
        <f t="shared" si="26"/>
        <v>0.31634001504060544</v>
      </c>
    </row>
    <row r="22" spans="2:22" ht="20.100000000000001" customHeight="1" x14ac:dyDescent="0.25">
      <c r="B22" s="19" t="s">
        <v>17</v>
      </c>
      <c r="C22" s="12">
        <f>C16/C8</f>
        <v>0.24573102892643706</v>
      </c>
      <c r="D22" s="12">
        <f>D16/D8</f>
        <v>0.27271734562594341</v>
      </c>
      <c r="E22" s="12">
        <f t="shared" ref="E22:V22" si="27">E16/E8</f>
        <v>0.29690092001198815</v>
      </c>
      <c r="F22" s="12">
        <f t="shared" si="27"/>
        <v>0.3025081128121771</v>
      </c>
      <c r="G22" s="12">
        <f t="shared" si="27"/>
        <v>0.25086290247982046</v>
      </c>
      <c r="H22" s="12">
        <f t="shared" si="27"/>
        <v>0.27629321078431518</v>
      </c>
      <c r="I22" s="12">
        <f t="shared" si="27"/>
        <v>0.30291509827273977</v>
      </c>
      <c r="J22" s="12">
        <f t="shared" si="27"/>
        <v>0.33050650692579209</v>
      </c>
      <c r="K22" s="12">
        <f t="shared" si="27"/>
        <v>0.35782365160991697</v>
      </c>
      <c r="L22" s="12">
        <f t="shared" si="27"/>
        <v>0.38439726852974065</v>
      </c>
      <c r="M22" s="12">
        <f t="shared" si="27"/>
        <v>0.40049454609244595</v>
      </c>
      <c r="N22" s="12">
        <f t="shared" si="27"/>
        <v>0.40615667557920471</v>
      </c>
      <c r="O22" s="12">
        <f t="shared" si="27"/>
        <v>0.40114734596328777</v>
      </c>
      <c r="P22" s="12">
        <f t="shared" si="27"/>
        <v>0.3938188183892764</v>
      </c>
      <c r="Q22" s="12">
        <f t="shared" si="27"/>
        <v>0.38612275086612485</v>
      </c>
      <c r="R22" s="12">
        <f t="shared" si="27"/>
        <v>0.37804076639637579</v>
      </c>
      <c r="S22" s="12">
        <f t="shared" si="27"/>
        <v>0.36955356913269982</v>
      </c>
      <c r="T22" s="12">
        <f t="shared" si="27"/>
        <v>0.36064089843540009</v>
      </c>
      <c r="U22" s="12">
        <f t="shared" si="27"/>
        <v>0.35128148063279568</v>
      </c>
      <c r="V22" s="12">
        <f t="shared" si="27"/>
        <v>0.21613369232061669</v>
      </c>
    </row>
    <row r="23" spans="2:22" ht="20.100000000000001" customHeight="1" x14ac:dyDescent="0.25">
      <c r="B23" s="19" t="s">
        <v>18</v>
      </c>
      <c r="D23" s="12">
        <f>D8/C8-1</f>
        <v>0</v>
      </c>
      <c r="E23" s="12">
        <f t="shared" ref="E23:V23" si="28">E8/D8-1</f>
        <v>-6.7287168343588277E-3</v>
      </c>
      <c r="F23" s="12">
        <f t="shared" si="28"/>
        <v>-3.6806657159609069E-2</v>
      </c>
      <c r="G23" s="12">
        <f t="shared" si="28"/>
        <v>0</v>
      </c>
      <c r="H23" s="12">
        <f t="shared" si="28"/>
        <v>0</v>
      </c>
      <c r="I23" s="12">
        <f t="shared" si="28"/>
        <v>0</v>
      </c>
      <c r="J23" s="12">
        <f t="shared" si="28"/>
        <v>0</v>
      </c>
      <c r="K23" s="12">
        <f t="shared" si="28"/>
        <v>0</v>
      </c>
      <c r="L23" s="12">
        <f t="shared" si="28"/>
        <v>0</v>
      </c>
      <c r="M23" s="12">
        <f t="shared" si="28"/>
        <v>0</v>
      </c>
      <c r="N23" s="12">
        <f t="shared" si="28"/>
        <v>0</v>
      </c>
      <c r="O23" s="12">
        <f t="shared" si="28"/>
        <v>0</v>
      </c>
      <c r="P23" s="12">
        <f t="shared" si="28"/>
        <v>0</v>
      </c>
      <c r="Q23" s="12">
        <f t="shared" si="28"/>
        <v>0</v>
      </c>
      <c r="R23" s="12">
        <f t="shared" si="28"/>
        <v>0</v>
      </c>
      <c r="S23" s="12">
        <f t="shared" si="28"/>
        <v>0</v>
      </c>
      <c r="T23" s="12">
        <f t="shared" si="28"/>
        <v>0</v>
      </c>
      <c r="U23" s="12">
        <f t="shared" si="28"/>
        <v>0</v>
      </c>
      <c r="V23" s="12">
        <f t="shared" si="28"/>
        <v>-0.43707947249029189</v>
      </c>
    </row>
  </sheetData>
  <pageMargins left="0.7" right="0.7" top="0.75" bottom="0.75" header="0.3" footer="0.3"/>
  <pageSetup orientation="portrait" r:id="rId1"/>
  <ignoredErrors>
    <ignoredError sqref="C11:V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showGridLines="0" topLeftCell="L4" workbookViewId="0">
      <selection activeCell="C11" sqref="C11"/>
    </sheetView>
  </sheetViews>
  <sheetFormatPr defaultRowHeight="15" x14ac:dyDescent="0.25"/>
  <cols>
    <col min="1" max="1" width="4.7109375" customWidth="1"/>
    <col min="2" max="2" width="36.5703125" customWidth="1"/>
    <col min="3" max="22" width="16.7109375" customWidth="1"/>
  </cols>
  <sheetData>
    <row r="2" spans="2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9.5" customHeight="1" x14ac:dyDescent="0.25">
      <c r="C3" s="9">
        <v>1</v>
      </c>
      <c r="D3" s="9">
        <f t="shared" ref="D3:V3" si="0">C3+1</f>
        <v>2</v>
      </c>
      <c r="E3" s="9">
        <f t="shared" si="0"/>
        <v>3</v>
      </c>
      <c r="F3" s="9">
        <f t="shared" si="0"/>
        <v>4</v>
      </c>
      <c r="G3" s="9">
        <f t="shared" si="0"/>
        <v>5</v>
      </c>
      <c r="H3" s="9">
        <f t="shared" si="0"/>
        <v>6</v>
      </c>
      <c r="I3" s="9">
        <f t="shared" si="0"/>
        <v>7</v>
      </c>
      <c r="J3" s="9">
        <f t="shared" si="0"/>
        <v>8</v>
      </c>
      <c r="K3" s="9">
        <f t="shared" si="0"/>
        <v>9</v>
      </c>
      <c r="L3" s="9">
        <f t="shared" si="0"/>
        <v>10</v>
      </c>
      <c r="M3" s="9">
        <f t="shared" si="0"/>
        <v>11</v>
      </c>
      <c r="N3" s="9">
        <f t="shared" si="0"/>
        <v>12</v>
      </c>
      <c r="O3" s="9">
        <f t="shared" si="0"/>
        <v>13</v>
      </c>
      <c r="P3" s="9">
        <f t="shared" si="0"/>
        <v>14</v>
      </c>
      <c r="Q3" s="9">
        <f t="shared" si="0"/>
        <v>15</v>
      </c>
      <c r="R3" s="9">
        <f t="shared" si="0"/>
        <v>16</v>
      </c>
      <c r="S3" s="9">
        <f t="shared" si="0"/>
        <v>17</v>
      </c>
      <c r="T3" s="9">
        <f t="shared" si="0"/>
        <v>18</v>
      </c>
      <c r="U3" s="9">
        <f t="shared" si="0"/>
        <v>19</v>
      </c>
      <c r="V3" s="9">
        <f t="shared" si="0"/>
        <v>20</v>
      </c>
    </row>
    <row r="4" spans="2:22" ht="17.25" customHeight="1" x14ac:dyDescent="0.25">
      <c r="B4" s="4" t="s">
        <v>10</v>
      </c>
      <c r="C4" s="23">
        <v>2023</v>
      </c>
      <c r="D4" s="23">
        <f>C4+1</f>
        <v>2024</v>
      </c>
      <c r="E4" s="23">
        <f t="shared" ref="E4:V4" si="1">D4+1</f>
        <v>2025</v>
      </c>
      <c r="F4" s="23">
        <f t="shared" si="1"/>
        <v>2026</v>
      </c>
      <c r="G4" s="23">
        <f t="shared" si="1"/>
        <v>2027</v>
      </c>
      <c r="H4" s="23">
        <f t="shared" si="1"/>
        <v>2028</v>
      </c>
      <c r="I4" s="23">
        <f t="shared" si="1"/>
        <v>2029</v>
      </c>
      <c r="J4" s="23">
        <f t="shared" si="1"/>
        <v>2030</v>
      </c>
      <c r="K4" s="23">
        <f t="shared" si="1"/>
        <v>2031</v>
      </c>
      <c r="L4" s="23">
        <f t="shared" si="1"/>
        <v>2032</v>
      </c>
      <c r="M4" s="23">
        <f t="shared" si="1"/>
        <v>2033</v>
      </c>
      <c r="N4" s="23">
        <f t="shared" si="1"/>
        <v>2034</v>
      </c>
      <c r="O4" s="23">
        <f t="shared" si="1"/>
        <v>2035</v>
      </c>
      <c r="P4" s="23">
        <f t="shared" si="1"/>
        <v>2036</v>
      </c>
      <c r="Q4" s="23">
        <f t="shared" si="1"/>
        <v>2037</v>
      </c>
      <c r="R4" s="23">
        <f t="shared" si="1"/>
        <v>2038</v>
      </c>
      <c r="S4" s="23">
        <f t="shared" si="1"/>
        <v>2039</v>
      </c>
      <c r="T4" s="23">
        <f t="shared" si="1"/>
        <v>2040</v>
      </c>
      <c r="U4" s="23">
        <f t="shared" si="1"/>
        <v>2041</v>
      </c>
      <c r="V4" s="23">
        <f t="shared" si="1"/>
        <v>2042</v>
      </c>
    </row>
    <row r="5" spans="2:22" ht="12.75" customHeight="1" x14ac:dyDescent="0.25"/>
    <row r="6" spans="2:22" ht="20.100000000000001" customHeight="1" x14ac:dyDescent="0.25">
      <c r="B6" s="5" t="s">
        <v>23</v>
      </c>
      <c r="C6" s="13">
        <v>29.117129932800005</v>
      </c>
      <c r="D6" s="13">
        <v>29.117129932800005</v>
      </c>
      <c r="E6" s="13">
        <v>28.692550476800001</v>
      </c>
      <c r="F6" s="13">
        <v>26.385691852800004</v>
      </c>
      <c r="G6" s="13">
        <v>26.385691852800004</v>
      </c>
      <c r="H6" s="13">
        <v>26.385691852800004</v>
      </c>
      <c r="I6" s="13">
        <v>26.385691852800004</v>
      </c>
      <c r="J6" s="13">
        <v>26.385691852800004</v>
      </c>
      <c r="K6" s="13">
        <v>26.385691852800004</v>
      </c>
      <c r="L6" s="13">
        <v>26.385691852800004</v>
      </c>
      <c r="M6" s="13">
        <v>26.385691852800004</v>
      </c>
      <c r="N6" s="13">
        <v>26.385691852800004</v>
      </c>
      <c r="O6" s="13">
        <v>26.385691852800004</v>
      </c>
      <c r="P6" s="13">
        <v>26.385691852800004</v>
      </c>
      <c r="Q6" s="13">
        <v>26.385691852800004</v>
      </c>
      <c r="R6" s="13">
        <v>26.385691852800004</v>
      </c>
      <c r="S6" s="13">
        <v>26.385691852800004</v>
      </c>
      <c r="T6" s="13">
        <v>26.385691852800004</v>
      </c>
      <c r="U6" s="13">
        <v>26.385691852800004</v>
      </c>
      <c r="V6" s="5"/>
    </row>
    <row r="7" spans="2:22" ht="20.100000000000001" customHeight="1" x14ac:dyDescent="0.25">
      <c r="B7" s="5" t="s">
        <v>24</v>
      </c>
      <c r="C7" s="13">
        <v>33.982487193599994</v>
      </c>
      <c r="D7" s="13">
        <v>33.982487193599994</v>
      </c>
      <c r="E7" s="13">
        <v>33.982487193599994</v>
      </c>
      <c r="F7" s="13">
        <v>33.982487193599994</v>
      </c>
      <c r="G7" s="13">
        <v>33.982487193599994</v>
      </c>
      <c r="H7" s="13">
        <v>33.982487193599994</v>
      </c>
      <c r="I7" s="13">
        <v>33.982487193599994</v>
      </c>
      <c r="J7" s="13">
        <v>33.982487193599994</v>
      </c>
      <c r="K7" s="13">
        <v>33.982487193599994</v>
      </c>
      <c r="L7" s="13">
        <v>33.982487193599994</v>
      </c>
      <c r="M7" s="13">
        <v>33.982487193599994</v>
      </c>
      <c r="N7" s="13">
        <v>33.982487193599994</v>
      </c>
      <c r="O7" s="13">
        <v>33.982487193599994</v>
      </c>
      <c r="P7" s="13">
        <v>33.982487193599994</v>
      </c>
      <c r="Q7" s="13">
        <v>33.982487193599994</v>
      </c>
      <c r="R7" s="13">
        <v>33.982487193599994</v>
      </c>
      <c r="S7" s="13">
        <v>33.982487193599994</v>
      </c>
      <c r="T7" s="13">
        <v>33.982487193599994</v>
      </c>
      <c r="U7" s="13">
        <v>33.982487193599994</v>
      </c>
      <c r="V7" s="13">
        <v>33.982487193599994</v>
      </c>
    </row>
    <row r="8" spans="2:22" ht="20.100000000000001" customHeight="1" x14ac:dyDescent="0.25">
      <c r="B8" s="11" t="s">
        <v>25</v>
      </c>
      <c r="C8" s="18">
        <f>SUM(C6:C7)</f>
        <v>63.099617126399998</v>
      </c>
      <c r="D8" s="18">
        <f t="shared" ref="D8:V8" si="2">SUM(D6:D7)</f>
        <v>63.099617126399998</v>
      </c>
      <c r="E8" s="18">
        <f t="shared" si="2"/>
        <v>62.675037670399995</v>
      </c>
      <c r="F8" s="18">
        <f t="shared" si="2"/>
        <v>60.368179046400002</v>
      </c>
      <c r="G8" s="18">
        <f t="shared" si="2"/>
        <v>60.368179046400002</v>
      </c>
      <c r="H8" s="18">
        <f t="shared" si="2"/>
        <v>60.368179046400002</v>
      </c>
      <c r="I8" s="18">
        <f t="shared" si="2"/>
        <v>60.368179046400002</v>
      </c>
      <c r="J8" s="18">
        <f t="shared" si="2"/>
        <v>60.368179046400002</v>
      </c>
      <c r="K8" s="18">
        <f t="shared" si="2"/>
        <v>60.368179046400002</v>
      </c>
      <c r="L8" s="18">
        <f t="shared" si="2"/>
        <v>60.368179046400002</v>
      </c>
      <c r="M8" s="18">
        <f t="shared" si="2"/>
        <v>60.368179046400002</v>
      </c>
      <c r="N8" s="18">
        <f t="shared" si="2"/>
        <v>60.368179046400002</v>
      </c>
      <c r="O8" s="18">
        <f t="shared" si="2"/>
        <v>60.368179046400002</v>
      </c>
      <c r="P8" s="18">
        <f t="shared" si="2"/>
        <v>60.368179046400002</v>
      </c>
      <c r="Q8" s="18">
        <f t="shared" si="2"/>
        <v>60.368179046400002</v>
      </c>
      <c r="R8" s="18">
        <f t="shared" si="2"/>
        <v>60.368179046400002</v>
      </c>
      <c r="S8" s="18">
        <f t="shared" si="2"/>
        <v>60.368179046400002</v>
      </c>
      <c r="T8" s="18">
        <f t="shared" si="2"/>
        <v>60.368179046400002</v>
      </c>
      <c r="U8" s="18">
        <f t="shared" si="2"/>
        <v>60.368179046400002</v>
      </c>
      <c r="V8" s="18">
        <f t="shared" si="2"/>
        <v>33.982487193599994</v>
      </c>
    </row>
    <row r="9" spans="2:22" ht="20.100000000000001" customHeight="1" x14ac:dyDescent="0.25"/>
    <row r="10" spans="2:22" ht="18" customHeight="1" x14ac:dyDescent="0.25">
      <c r="B10" s="5" t="s">
        <v>23</v>
      </c>
      <c r="C10" s="13">
        <v>3.1427283200000002</v>
      </c>
      <c r="D10" s="13">
        <v>3.2945678400000005</v>
      </c>
      <c r="E10" s="13">
        <v>3.4541866000000008</v>
      </c>
      <c r="F10" s="13">
        <v>3.6219735620000009</v>
      </c>
      <c r="G10" s="13">
        <v>3.7983371361000011</v>
      </c>
      <c r="H10" s="13">
        <v>3.9867398297050012</v>
      </c>
      <c r="I10" s="13">
        <v>4.1845982381502509</v>
      </c>
      <c r="J10" s="13">
        <v>4.3923851471777642</v>
      </c>
      <c r="K10" s="13">
        <v>4.6105969818166521</v>
      </c>
      <c r="L10" s="13">
        <v>4.8397549883474849</v>
      </c>
      <c r="M10" s="13">
        <v>5.0804064753648595</v>
      </c>
      <c r="N10" s="13">
        <v>5.3331261168931023</v>
      </c>
      <c r="O10" s="13">
        <v>5.5985173206577574</v>
      </c>
      <c r="P10" s="13">
        <v>5.8772136647706459</v>
      </c>
      <c r="Q10" s="13">
        <v>6.1698804062491783</v>
      </c>
      <c r="R10" s="13">
        <v>6.4772160649616373</v>
      </c>
      <c r="S10" s="13">
        <v>6.799954086769719</v>
      </c>
      <c r="T10" s="13">
        <v>7.1388645898282048</v>
      </c>
      <c r="U10" s="13">
        <v>7.4947561981996165</v>
      </c>
      <c r="V10" s="13"/>
    </row>
    <row r="11" spans="2:22" ht="17.25" customHeight="1" x14ac:dyDescent="0.25">
      <c r="B11" s="5" t="s">
        <v>24</v>
      </c>
      <c r="C11" s="13">
        <v>3.4002196000000002</v>
      </c>
      <c r="D11" s="13">
        <v>3.5618682200000005</v>
      </c>
      <c r="E11" s="13">
        <v>3.7318848150000012</v>
      </c>
      <c r="F11" s="13">
        <v>3.9106877837500016</v>
      </c>
      <c r="G11" s="13">
        <v>4.0987164449375015</v>
      </c>
      <c r="H11" s="13">
        <v>4.296432083184377</v>
      </c>
      <c r="I11" s="13">
        <v>4.508944860143596</v>
      </c>
      <c r="J11" s="13">
        <v>4.7321375293107764</v>
      </c>
      <c r="K11" s="13">
        <v>4.9665440852963156</v>
      </c>
      <c r="L11" s="13">
        <v>5.212725222441132</v>
      </c>
      <c r="M11" s="13">
        <v>5.4712696698031884</v>
      </c>
      <c r="N11" s="13">
        <v>5.7427955928933478</v>
      </c>
      <c r="O11" s="13">
        <v>6.0279520654980159</v>
      </c>
      <c r="P11" s="13">
        <v>6.3274206150929171</v>
      </c>
      <c r="Q11" s="13">
        <v>6.6419168455275628</v>
      </c>
      <c r="R11" s="13">
        <v>6.9721921408439416</v>
      </c>
      <c r="S11" s="13">
        <v>7.3190354542861389</v>
      </c>
      <c r="T11" s="13">
        <v>7.6832751867604463</v>
      </c>
      <c r="U11" s="13">
        <v>8.0657811592184672</v>
      </c>
      <c r="V11" s="13">
        <v>8.4674666836593904</v>
      </c>
    </row>
    <row r="12" spans="2:22" ht="18.75" customHeight="1" x14ac:dyDescent="0.25">
      <c r="B12" s="11" t="s">
        <v>26</v>
      </c>
      <c r="C12" s="18">
        <f>SUM(C10:C11)</f>
        <v>6.5429479200000005</v>
      </c>
      <c r="D12" s="18">
        <f t="shared" ref="D12:V12" si="3">SUM(D10:D11)</f>
        <v>6.8564360600000009</v>
      </c>
      <c r="E12" s="18">
        <f t="shared" si="3"/>
        <v>7.1860714150000025</v>
      </c>
      <c r="F12" s="18">
        <f t="shared" si="3"/>
        <v>7.532661345750002</v>
      </c>
      <c r="G12" s="18">
        <f t="shared" si="3"/>
        <v>7.8970535810375022</v>
      </c>
      <c r="H12" s="18">
        <f t="shared" si="3"/>
        <v>8.2831719128893777</v>
      </c>
      <c r="I12" s="18">
        <f t="shared" si="3"/>
        <v>8.6935430982938477</v>
      </c>
      <c r="J12" s="18">
        <f t="shared" si="3"/>
        <v>9.1245226764885405</v>
      </c>
      <c r="K12" s="18">
        <f t="shared" si="3"/>
        <v>9.5771410671129686</v>
      </c>
      <c r="L12" s="18">
        <f t="shared" si="3"/>
        <v>10.052480210788616</v>
      </c>
      <c r="M12" s="18">
        <f t="shared" si="3"/>
        <v>10.551676145168049</v>
      </c>
      <c r="N12" s="18">
        <f t="shared" si="3"/>
        <v>11.075921709786449</v>
      </c>
      <c r="O12" s="18">
        <f t="shared" si="3"/>
        <v>11.626469386155772</v>
      </c>
      <c r="P12" s="18">
        <f t="shared" si="3"/>
        <v>12.204634279863562</v>
      </c>
      <c r="Q12" s="18">
        <f t="shared" si="3"/>
        <v>12.811797251776742</v>
      </c>
      <c r="R12" s="18">
        <f t="shared" si="3"/>
        <v>13.449408205805579</v>
      </c>
      <c r="S12" s="18">
        <f t="shared" si="3"/>
        <v>14.118989541055857</v>
      </c>
      <c r="T12" s="18">
        <f t="shared" si="3"/>
        <v>14.822139776588651</v>
      </c>
      <c r="U12" s="18">
        <f t="shared" si="3"/>
        <v>15.560537357418085</v>
      </c>
      <c r="V12" s="18">
        <f t="shared" si="3"/>
        <v>8.4674666836593904</v>
      </c>
    </row>
    <row r="13" spans="2:22" ht="18.75" customHeight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2:22" ht="18.75" customHeight="1" x14ac:dyDescent="0.25">
      <c r="B14" s="71" t="s">
        <v>106</v>
      </c>
      <c r="C14" s="22" t="s">
        <v>108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2:22" ht="20.100000000000001" customHeight="1" x14ac:dyDescent="0.25">
      <c r="B15" t="s">
        <v>107</v>
      </c>
      <c r="C15" s="9">
        <v>295.3</v>
      </c>
      <c r="D15" t="s">
        <v>109</v>
      </c>
      <c r="E15" s="9">
        <v>20</v>
      </c>
      <c r="F15" s="13">
        <f>C15/E15</f>
        <v>14.765000000000001</v>
      </c>
    </row>
    <row r="16" spans="2:22" ht="20.100000000000001" customHeight="1" x14ac:dyDescent="0.25">
      <c r="B16" s="5" t="s">
        <v>23</v>
      </c>
      <c r="C16" s="13">
        <v>9.3632000000000026</v>
      </c>
      <c r="D16" s="13">
        <v>9.3632000000000026</v>
      </c>
      <c r="E16" s="13">
        <v>9.3632000000000026</v>
      </c>
      <c r="F16" s="13">
        <v>9.3632000000000026</v>
      </c>
      <c r="G16" s="13">
        <v>1.7790080000000001</v>
      </c>
      <c r="H16" s="13">
        <v>1.7790080000000001</v>
      </c>
      <c r="I16" s="13">
        <v>1.7790080000000001</v>
      </c>
      <c r="J16" s="13">
        <v>1.7790080000000001</v>
      </c>
      <c r="K16" s="13">
        <v>1.7790080000000001</v>
      </c>
      <c r="L16" s="13">
        <v>1.7790080000000001</v>
      </c>
      <c r="M16" s="13">
        <v>1.7790080000000001</v>
      </c>
      <c r="N16" s="13">
        <v>1.7790080000000001</v>
      </c>
      <c r="O16" s="13">
        <v>1.7790080000000001</v>
      </c>
      <c r="P16" s="13">
        <v>1.7790080000000001</v>
      </c>
      <c r="Q16" s="13">
        <v>1.7790080000000001</v>
      </c>
      <c r="R16" s="13">
        <v>1.7790080000000001</v>
      </c>
      <c r="S16" s="13">
        <v>1.7790080000000001</v>
      </c>
      <c r="T16" s="13">
        <v>1.7790080000000001</v>
      </c>
      <c r="U16" s="13">
        <v>1.7790080000000001</v>
      </c>
      <c r="V16" s="13"/>
    </row>
    <row r="17" spans="2:22" ht="20.100000000000001" customHeight="1" x14ac:dyDescent="0.25">
      <c r="B17" s="5" t="s">
        <v>24</v>
      </c>
      <c r="C17" s="13">
        <v>14.277200000000002</v>
      </c>
      <c r="D17" s="13">
        <v>14.277200000000002</v>
      </c>
      <c r="E17" s="13">
        <v>14.277200000000002</v>
      </c>
      <c r="F17" s="13">
        <v>14.277200000000002</v>
      </c>
      <c r="G17" s="13">
        <v>14.277200000000002</v>
      </c>
      <c r="H17" s="13">
        <v>2.7126679999999999</v>
      </c>
      <c r="I17" s="13">
        <v>2.7126679999999999</v>
      </c>
      <c r="J17" s="13">
        <v>2.7126679999999999</v>
      </c>
      <c r="K17" s="13">
        <v>2.7126679999999999</v>
      </c>
      <c r="L17" s="13">
        <v>2.7126679999999999</v>
      </c>
      <c r="M17" s="13">
        <v>2.7126679999999999</v>
      </c>
      <c r="N17" s="13">
        <v>2.7126679999999999</v>
      </c>
      <c r="O17" s="13">
        <v>2.7126679999999999</v>
      </c>
      <c r="P17" s="13">
        <v>2.7126679999999999</v>
      </c>
      <c r="Q17" s="13">
        <v>2.7126679999999999</v>
      </c>
      <c r="R17" s="13">
        <v>2.7126679999999999</v>
      </c>
      <c r="S17" s="13">
        <v>2.7126679999999999</v>
      </c>
      <c r="T17" s="13">
        <v>2.7126679999999999</v>
      </c>
      <c r="U17" s="13">
        <v>2.7126679999999999</v>
      </c>
      <c r="V17" s="13">
        <v>2.7126679999999999</v>
      </c>
    </row>
    <row r="18" spans="2:22" ht="20.100000000000001" customHeight="1" x14ac:dyDescent="0.25">
      <c r="B18" s="11" t="s">
        <v>27</v>
      </c>
      <c r="C18" s="18">
        <f>$F$15</f>
        <v>14.765000000000001</v>
      </c>
      <c r="D18" s="18">
        <f t="shared" ref="D18:V18" si="4">$F$15</f>
        <v>14.765000000000001</v>
      </c>
      <c r="E18" s="18">
        <f t="shared" si="4"/>
        <v>14.765000000000001</v>
      </c>
      <c r="F18" s="18">
        <f t="shared" si="4"/>
        <v>14.765000000000001</v>
      </c>
      <c r="G18" s="18">
        <f t="shared" si="4"/>
        <v>14.765000000000001</v>
      </c>
      <c r="H18" s="18">
        <f t="shared" si="4"/>
        <v>14.765000000000001</v>
      </c>
      <c r="I18" s="18">
        <f t="shared" si="4"/>
        <v>14.765000000000001</v>
      </c>
      <c r="J18" s="18">
        <f t="shared" si="4"/>
        <v>14.765000000000001</v>
      </c>
      <c r="K18" s="18">
        <f t="shared" si="4"/>
        <v>14.765000000000001</v>
      </c>
      <c r="L18" s="18">
        <f t="shared" si="4"/>
        <v>14.765000000000001</v>
      </c>
      <c r="M18" s="18">
        <f t="shared" si="4"/>
        <v>14.765000000000001</v>
      </c>
      <c r="N18" s="18">
        <f t="shared" si="4"/>
        <v>14.765000000000001</v>
      </c>
      <c r="O18" s="18">
        <f t="shared" si="4"/>
        <v>14.765000000000001</v>
      </c>
      <c r="P18" s="18">
        <f t="shared" si="4"/>
        <v>14.765000000000001</v>
      </c>
      <c r="Q18" s="18">
        <f t="shared" si="4"/>
        <v>14.765000000000001</v>
      </c>
      <c r="R18" s="18">
        <f t="shared" si="4"/>
        <v>14.765000000000001</v>
      </c>
      <c r="S18" s="18">
        <f t="shared" si="4"/>
        <v>14.765000000000001</v>
      </c>
      <c r="T18" s="18">
        <f t="shared" si="4"/>
        <v>14.765000000000001</v>
      </c>
      <c r="U18" s="18">
        <f t="shared" si="4"/>
        <v>14.765000000000001</v>
      </c>
      <c r="V18" s="18">
        <f t="shared" si="4"/>
        <v>14.765000000000001</v>
      </c>
    </row>
    <row r="19" spans="2:22" ht="20.100000000000001" customHeight="1" x14ac:dyDescent="0.25"/>
    <row r="20" spans="2:22" ht="20.100000000000001" customHeight="1" x14ac:dyDescent="0.25">
      <c r="B20" s="24" t="s">
        <v>29</v>
      </c>
    </row>
    <row r="21" spans="2:22" ht="20.100000000000001" customHeight="1" x14ac:dyDescent="0.25">
      <c r="B21" s="5" t="s">
        <v>23</v>
      </c>
      <c r="C21" s="13">
        <v>8.9669999999999987</v>
      </c>
      <c r="D21" s="13">
        <v>8.1646249999999991</v>
      </c>
      <c r="E21" s="13">
        <v>7.31325</v>
      </c>
      <c r="F21" s="13">
        <v>6.4312500000000004</v>
      </c>
      <c r="G21" s="13">
        <v>5.5125000000000011</v>
      </c>
      <c r="H21" s="13">
        <v>4.495750000000001</v>
      </c>
      <c r="I21" s="13">
        <v>3.4177500000000007</v>
      </c>
      <c r="J21" s="13">
        <v>2.3397500000000013</v>
      </c>
      <c r="K21" s="13">
        <v>1.2617500000000015</v>
      </c>
      <c r="L21" s="13">
        <v>0.22050000000000158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/>
    </row>
    <row r="22" spans="2:22" ht="20.100000000000001" customHeight="1" x14ac:dyDescent="0.25">
      <c r="B22" s="5" t="s">
        <v>24</v>
      </c>
      <c r="C22" s="13">
        <v>15.756460068749996</v>
      </c>
      <c r="D22" s="13">
        <v>14.535259949999999</v>
      </c>
      <c r="E22" s="13">
        <v>13.234632181249999</v>
      </c>
      <c r="F22" s="13">
        <v>11.854576762499995</v>
      </c>
      <c r="G22" s="13">
        <v>10.424879062499995</v>
      </c>
      <c r="H22" s="13">
        <v>8.995181362499995</v>
      </c>
      <c r="I22" s="13">
        <v>7.5059129249999943</v>
      </c>
      <c r="J22" s="13">
        <v>5.9173599249999951</v>
      </c>
      <c r="K22" s="13">
        <v>4.328806924999995</v>
      </c>
      <c r="L22" s="13">
        <v>2.7402539249999958</v>
      </c>
      <c r="M22" s="13">
        <v>1.1517009249999961</v>
      </c>
      <c r="N22" s="13">
        <v>0.1588552999999962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</row>
    <row r="23" spans="2:22" ht="20.100000000000001" customHeight="1" x14ac:dyDescent="0.25">
      <c r="B23" s="21" t="s">
        <v>29</v>
      </c>
      <c r="C23" s="15">
        <f>SUM(C21:C22)</f>
        <v>24.723460068749993</v>
      </c>
      <c r="D23" s="15">
        <f t="shared" ref="D23:V23" si="5">SUM(D21:D22)</f>
        <v>22.699884949999998</v>
      </c>
      <c r="E23" s="15">
        <f t="shared" si="5"/>
        <v>20.547882181249999</v>
      </c>
      <c r="F23" s="15">
        <f t="shared" si="5"/>
        <v>18.285826762499994</v>
      </c>
      <c r="G23" s="15">
        <f t="shared" si="5"/>
        <v>15.937379062499996</v>
      </c>
      <c r="H23" s="15">
        <f t="shared" si="5"/>
        <v>13.490931362499996</v>
      </c>
      <c r="I23" s="15">
        <f t="shared" si="5"/>
        <v>10.923662924999995</v>
      </c>
      <c r="J23" s="15">
        <f t="shared" si="5"/>
        <v>8.2571099249999964</v>
      </c>
      <c r="K23" s="15">
        <f t="shared" si="5"/>
        <v>5.590556924999996</v>
      </c>
      <c r="L23" s="15">
        <f t="shared" si="5"/>
        <v>2.9607539249999975</v>
      </c>
      <c r="M23" s="15">
        <f t="shared" si="5"/>
        <v>1.1517009249999961</v>
      </c>
      <c r="N23" s="15">
        <f t="shared" si="5"/>
        <v>0.1588552999999962</v>
      </c>
      <c r="O23" s="15">
        <f t="shared" si="5"/>
        <v>0</v>
      </c>
      <c r="P23" s="15">
        <f t="shared" si="5"/>
        <v>0</v>
      </c>
      <c r="Q23" s="15">
        <f t="shared" si="5"/>
        <v>0</v>
      </c>
      <c r="R23" s="15">
        <f t="shared" si="5"/>
        <v>0</v>
      </c>
      <c r="S23" s="15">
        <f t="shared" si="5"/>
        <v>0</v>
      </c>
      <c r="T23" s="15">
        <f t="shared" si="5"/>
        <v>0</v>
      </c>
      <c r="U23" s="15">
        <f t="shared" si="5"/>
        <v>0</v>
      </c>
      <c r="V23" s="15">
        <f t="shared" si="5"/>
        <v>0</v>
      </c>
    </row>
    <row r="24" spans="2:22" ht="20.100000000000001" customHeight="1" x14ac:dyDescent="0.25"/>
    <row r="25" spans="2:22" ht="20.100000000000001" customHeight="1" x14ac:dyDescent="0.25">
      <c r="B25" s="24" t="s">
        <v>30</v>
      </c>
    </row>
    <row r="26" spans="2:22" ht="20.100000000000001" customHeight="1" x14ac:dyDescent="0.25">
      <c r="B26" s="5" t="s">
        <v>23</v>
      </c>
      <c r="C26" s="13">
        <v>0.74025584564400015</v>
      </c>
      <c r="D26" s="13">
        <v>0.74382943401900015</v>
      </c>
      <c r="E26" s="13">
        <v>0.73782964243275018</v>
      </c>
      <c r="F26" s="13">
        <v>0.68878386459618757</v>
      </c>
      <c r="G26" s="13">
        <v>0.69292073983879698</v>
      </c>
      <c r="H26" s="13">
        <v>0.69726445884353672</v>
      </c>
      <c r="I26" s="13">
        <v>0.70182536379851379</v>
      </c>
      <c r="J26" s="13">
        <v>0.70661431400123931</v>
      </c>
      <c r="K26" s="13">
        <v>0.71164271171410132</v>
      </c>
      <c r="L26" s="13">
        <v>0.71692252931260614</v>
      </c>
      <c r="M26" s="13">
        <v>0.72246633779103675</v>
      </c>
      <c r="N26" s="13">
        <v>0.72828733669338863</v>
      </c>
      <c r="O26" s="13">
        <v>0.73439938554085804</v>
      </c>
      <c r="P26" s="13">
        <v>0.74081703683070066</v>
      </c>
      <c r="Q26" s="13">
        <v>0.74755557068503597</v>
      </c>
      <c r="R26" s="13">
        <v>0.75463103123208752</v>
      </c>
      <c r="S26" s="13">
        <v>0.76206026480649192</v>
      </c>
      <c r="T26" s="13">
        <v>0.76986096005961668</v>
      </c>
      <c r="U26" s="13">
        <v>0.77805169007539765</v>
      </c>
      <c r="V26" s="13"/>
    </row>
    <row r="27" spans="2:22" ht="20.100000000000001" customHeight="1" x14ac:dyDescent="0.25">
      <c r="B27" s="5" t="s">
        <v>24</v>
      </c>
      <c r="C27" s="13">
        <v>0.8224194506714998</v>
      </c>
      <c r="D27" s="13">
        <v>0.82610658965587491</v>
      </c>
      <c r="E27" s="13">
        <v>0.82997808558946862</v>
      </c>
      <c r="F27" s="13">
        <v>0.83404315631974202</v>
      </c>
      <c r="G27" s="13">
        <v>0.83831148058652916</v>
      </c>
      <c r="H27" s="13">
        <v>0.84279322106665555</v>
      </c>
      <c r="I27" s="13">
        <v>0.84749904857078839</v>
      </c>
      <c r="J27" s="13">
        <v>0.85244016745012774</v>
      </c>
      <c r="K27" s="13">
        <v>0.85762834227343421</v>
      </c>
      <c r="L27" s="13">
        <v>0.86307592583790604</v>
      </c>
      <c r="M27" s="13">
        <v>0.86879588858060142</v>
      </c>
      <c r="N27" s="13">
        <v>0.87480184946043149</v>
      </c>
      <c r="O27" s="13">
        <v>0.88110810838425291</v>
      </c>
      <c r="P27" s="13">
        <v>0.88772968025426557</v>
      </c>
      <c r="Q27" s="13">
        <v>0.89468233071777892</v>
      </c>
      <c r="R27" s="13">
        <v>0.90198261370446797</v>
      </c>
      <c r="S27" s="13">
        <v>0.90964791084049124</v>
      </c>
      <c r="T27" s="13">
        <v>0.91769647283331601</v>
      </c>
      <c r="U27" s="13">
        <v>0.92614746292578165</v>
      </c>
      <c r="V27" s="13">
        <v>0.93502100252287079</v>
      </c>
    </row>
    <row r="28" spans="2:22" ht="20.100000000000001" customHeight="1" x14ac:dyDescent="0.25">
      <c r="B28" s="21" t="s">
        <v>30</v>
      </c>
      <c r="C28" s="15">
        <f>SUM(C26:C27)</f>
        <v>1.5626752963155</v>
      </c>
      <c r="D28" s="15">
        <f t="shared" ref="D28:V28" si="6">SUM(D26:D27)</f>
        <v>1.5699360236748752</v>
      </c>
      <c r="E28" s="15">
        <f t="shared" si="6"/>
        <v>1.5678077280222187</v>
      </c>
      <c r="F28" s="15">
        <f t="shared" si="6"/>
        <v>1.5228270209159296</v>
      </c>
      <c r="G28" s="15">
        <f t="shared" si="6"/>
        <v>1.5312322204253261</v>
      </c>
      <c r="H28" s="15">
        <f t="shared" si="6"/>
        <v>1.5400576799101922</v>
      </c>
      <c r="I28" s="15">
        <f t="shared" si="6"/>
        <v>1.5493244123693022</v>
      </c>
      <c r="J28" s="15">
        <f t="shared" si="6"/>
        <v>1.5590544814513669</v>
      </c>
      <c r="K28" s="15">
        <f t="shared" si="6"/>
        <v>1.5692710539875354</v>
      </c>
      <c r="L28" s="15">
        <f t="shared" si="6"/>
        <v>1.5799984551505122</v>
      </c>
      <c r="M28" s="15">
        <f t="shared" si="6"/>
        <v>1.5912622263716383</v>
      </c>
      <c r="N28" s="15">
        <f t="shared" si="6"/>
        <v>1.6030891861538201</v>
      </c>
      <c r="O28" s="15">
        <f t="shared" si="6"/>
        <v>1.6155074939251111</v>
      </c>
      <c r="P28" s="15">
        <f t="shared" si="6"/>
        <v>1.6285467170849661</v>
      </c>
      <c r="Q28" s="15">
        <f t="shared" si="6"/>
        <v>1.6422379014028148</v>
      </c>
      <c r="R28" s="15">
        <f t="shared" si="6"/>
        <v>1.6566136449365554</v>
      </c>
      <c r="S28" s="15">
        <f t="shared" si="6"/>
        <v>1.6717081756469832</v>
      </c>
      <c r="T28" s="15">
        <f t="shared" si="6"/>
        <v>1.6875574328929326</v>
      </c>
      <c r="U28" s="15">
        <f t="shared" si="6"/>
        <v>1.7041991530011793</v>
      </c>
      <c r="V28" s="15">
        <f t="shared" si="6"/>
        <v>0.93502100252287079</v>
      </c>
    </row>
    <row r="30" spans="2:22" ht="18.75" customHeight="1" x14ac:dyDescent="0.25">
      <c r="B30" s="11" t="s">
        <v>31</v>
      </c>
      <c r="C30" s="18">
        <f>C23+C28</f>
        <v>26.286135365065494</v>
      </c>
      <c r="D30" s="18">
        <f t="shared" ref="D30:V30" si="7">D23+D28</f>
        <v>24.269820973674872</v>
      </c>
      <c r="E30" s="18">
        <f t="shared" si="7"/>
        <v>22.11568990927222</v>
      </c>
      <c r="F30" s="18">
        <f t="shared" si="7"/>
        <v>19.808653783415924</v>
      </c>
      <c r="G30" s="18">
        <f t="shared" si="7"/>
        <v>17.468611282925323</v>
      </c>
      <c r="H30" s="18">
        <f t="shared" si="7"/>
        <v>15.030989042410187</v>
      </c>
      <c r="I30" s="18">
        <f t="shared" si="7"/>
        <v>12.472987337369297</v>
      </c>
      <c r="J30" s="18">
        <f t="shared" si="7"/>
        <v>9.8161644064513638</v>
      </c>
      <c r="K30" s="18">
        <f t="shared" si="7"/>
        <v>7.159827978987531</v>
      </c>
      <c r="L30" s="18">
        <f t="shared" si="7"/>
        <v>4.5407523801505096</v>
      </c>
      <c r="M30" s="18">
        <f t="shared" si="7"/>
        <v>2.7429631513716344</v>
      </c>
      <c r="N30" s="18">
        <f t="shared" si="7"/>
        <v>1.7619444861538163</v>
      </c>
      <c r="O30" s="18">
        <f t="shared" si="7"/>
        <v>1.6155074939251111</v>
      </c>
      <c r="P30" s="18">
        <f t="shared" si="7"/>
        <v>1.6285467170849661</v>
      </c>
      <c r="Q30" s="18">
        <f t="shared" si="7"/>
        <v>1.6422379014028148</v>
      </c>
      <c r="R30" s="18">
        <f t="shared" si="7"/>
        <v>1.6566136449365554</v>
      </c>
      <c r="S30" s="18">
        <f t="shared" si="7"/>
        <v>1.6717081756469832</v>
      </c>
      <c r="T30" s="18">
        <f t="shared" si="7"/>
        <v>1.6875574328929326</v>
      </c>
      <c r="U30" s="18">
        <f t="shared" si="7"/>
        <v>1.7041991530011793</v>
      </c>
      <c r="V30" s="18">
        <f t="shared" si="7"/>
        <v>0.93502100252287079</v>
      </c>
    </row>
    <row r="31" spans="2:22" ht="19.5" customHeight="1" x14ac:dyDescent="0.25"/>
    <row r="33" spans="2:22" x14ac:dyDescent="0.25">
      <c r="B33" s="5" t="s">
        <v>23</v>
      </c>
      <c r="C33" s="13">
        <v>8.0572064832000017</v>
      </c>
      <c r="D33" s="13">
        <v>8.0961026832000016</v>
      </c>
      <c r="E33" s="13">
        <v>8.0307988292000019</v>
      </c>
      <c r="F33" s="13">
        <v>7.4969672337000013</v>
      </c>
      <c r="G33" s="13">
        <v>7.5419944472250009</v>
      </c>
      <c r="H33" s="13">
        <v>7.5892730214262514</v>
      </c>
      <c r="I33" s="13">
        <v>7.6389155243375644</v>
      </c>
      <c r="J33" s="13">
        <v>7.6910401523944421</v>
      </c>
      <c r="K33" s="13">
        <v>7.7457710118541643</v>
      </c>
      <c r="L33" s="13">
        <v>7.8032384142868718</v>
      </c>
      <c r="M33" s="13">
        <v>7.8635791868412159</v>
      </c>
      <c r="N33" s="13">
        <v>7.9269369980232769</v>
      </c>
      <c r="O33" s="13">
        <v>7.9934626997644402</v>
      </c>
      <c r="P33" s="13">
        <v>8.0633146865926619</v>
      </c>
      <c r="Q33" s="13">
        <v>8.1366592727622962</v>
      </c>
      <c r="R33" s="13">
        <v>8.2136710882404103</v>
      </c>
      <c r="S33" s="13">
        <v>8.2945334944924305</v>
      </c>
      <c r="T33" s="13">
        <v>8.3794390210570526</v>
      </c>
      <c r="U33" s="13">
        <v>8.4685898239499053</v>
      </c>
      <c r="V33" s="13"/>
    </row>
    <row r="34" spans="2:22" x14ac:dyDescent="0.25">
      <c r="B34" s="5" t="s">
        <v>24</v>
      </c>
      <c r="C34" s="13">
        <v>9.3324192983999978</v>
      </c>
      <c r="D34" s="13">
        <v>9.3742591733999987</v>
      </c>
      <c r="E34" s="13">
        <v>9.4181910421499992</v>
      </c>
      <c r="F34" s="13">
        <v>9.4643195043374995</v>
      </c>
      <c r="G34" s="13">
        <v>9.5127543896343738</v>
      </c>
      <c r="H34" s="13">
        <v>9.5636110191960917</v>
      </c>
      <c r="I34" s="13">
        <v>9.6170104802358978</v>
      </c>
      <c r="J34" s="13">
        <v>9.6730799143276922</v>
      </c>
      <c r="K34" s="13">
        <v>9.7319528201240768</v>
      </c>
      <c r="L34" s="13">
        <v>9.7937693712102813</v>
      </c>
      <c r="M34" s="13">
        <v>9.8586767498507957</v>
      </c>
      <c r="N34" s="13">
        <v>9.926829497423336</v>
      </c>
      <c r="O34" s="13">
        <v>9.9983898823745019</v>
      </c>
      <c r="P34" s="13">
        <v>10.073528286573227</v>
      </c>
      <c r="Q34" s="13">
        <v>10.15242361098189</v>
      </c>
      <c r="R34" s="13">
        <v>10.235263701610984</v>
      </c>
      <c r="S34" s="13">
        <v>10.322245796771533</v>
      </c>
      <c r="T34" s="13">
        <v>10.413576996690111</v>
      </c>
      <c r="U34" s="13">
        <v>10.509474756604614</v>
      </c>
      <c r="V34" s="13">
        <v>10.610167404514847</v>
      </c>
    </row>
    <row r="35" spans="2:22" ht="15.75" customHeight="1" x14ac:dyDescent="0.25">
      <c r="B35" s="11" t="s">
        <v>38</v>
      </c>
      <c r="C35" s="18">
        <f>SUM(C33:C34)</f>
        <v>17.389625781599999</v>
      </c>
      <c r="D35" s="18">
        <f t="shared" ref="D35:V35" si="8">SUM(D33:D34)</f>
        <v>17.4703618566</v>
      </c>
      <c r="E35" s="18">
        <f t="shared" si="8"/>
        <v>17.448989871350001</v>
      </c>
      <c r="F35" s="18">
        <f t="shared" si="8"/>
        <v>16.961286738037501</v>
      </c>
      <c r="G35" s="18">
        <f t="shared" si="8"/>
        <v>17.054748836859375</v>
      </c>
      <c r="H35" s="18">
        <f t="shared" si="8"/>
        <v>17.152884040622343</v>
      </c>
      <c r="I35" s="18">
        <f t="shared" si="8"/>
        <v>17.25592600457346</v>
      </c>
      <c r="J35" s="18">
        <f t="shared" si="8"/>
        <v>17.364120066722133</v>
      </c>
      <c r="K35" s="18">
        <f t="shared" si="8"/>
        <v>17.477723831978242</v>
      </c>
      <c r="L35" s="18">
        <f t="shared" si="8"/>
        <v>17.597007785497155</v>
      </c>
      <c r="M35" s="18">
        <f t="shared" si="8"/>
        <v>17.722255936692012</v>
      </c>
      <c r="N35" s="18">
        <f t="shared" si="8"/>
        <v>17.853766495446614</v>
      </c>
      <c r="O35" s="18">
        <f t="shared" si="8"/>
        <v>17.991852582138943</v>
      </c>
      <c r="P35" s="18">
        <f t="shared" si="8"/>
        <v>18.136842973165891</v>
      </c>
      <c r="Q35" s="18">
        <f t="shared" si="8"/>
        <v>18.289082883744186</v>
      </c>
      <c r="R35" s="18">
        <f t="shared" si="8"/>
        <v>18.448934789851393</v>
      </c>
      <c r="S35" s="18">
        <f t="shared" si="8"/>
        <v>18.616779291263963</v>
      </c>
      <c r="T35" s="18">
        <f t="shared" si="8"/>
        <v>18.793016017747163</v>
      </c>
      <c r="U35" s="18">
        <f t="shared" si="8"/>
        <v>18.97806458055452</v>
      </c>
      <c r="V35" s="18">
        <f t="shared" si="8"/>
        <v>10.610167404514847</v>
      </c>
    </row>
    <row r="36" spans="2:22" x14ac:dyDescent="0.25">
      <c r="C36" s="25">
        <v>17.309999999999999</v>
      </c>
    </row>
    <row r="37" spans="2:22" x14ac:dyDescent="0.25">
      <c r="B37" t="s">
        <v>39</v>
      </c>
      <c r="C37" s="13">
        <f>C35-C36</f>
        <v>7.9625781600000778E-2</v>
      </c>
      <c r="D37" s="13">
        <f>D35-C35</f>
        <v>8.0736075000000795E-2</v>
      </c>
      <c r="E37" s="13">
        <f t="shared" ref="E37:V37" si="9">E35-D35</f>
        <v>-2.137198524999917E-2</v>
      </c>
      <c r="F37" s="13">
        <f t="shared" si="9"/>
        <v>-0.48770313331250037</v>
      </c>
      <c r="G37" s="13">
        <f t="shared" si="9"/>
        <v>9.3462098821873951E-2</v>
      </c>
      <c r="H37" s="13">
        <f t="shared" si="9"/>
        <v>9.8135203762968359E-2</v>
      </c>
      <c r="I37" s="13">
        <f t="shared" si="9"/>
        <v>0.10304196395111731</v>
      </c>
      <c r="J37" s="13">
        <f t="shared" si="9"/>
        <v>0.108194062148673</v>
      </c>
      <c r="K37" s="13">
        <f t="shared" si="9"/>
        <v>0.1136037652561086</v>
      </c>
      <c r="L37" s="13">
        <f t="shared" si="9"/>
        <v>0.11928395351891297</v>
      </c>
      <c r="M37" s="13">
        <f t="shared" si="9"/>
        <v>0.12524815119485666</v>
      </c>
      <c r="N37" s="13">
        <f t="shared" si="9"/>
        <v>0.13151055875460216</v>
      </c>
      <c r="O37" s="13">
        <f t="shared" si="9"/>
        <v>0.13808608669232925</v>
      </c>
      <c r="P37" s="13">
        <f t="shared" si="9"/>
        <v>0.14499039102694766</v>
      </c>
      <c r="Q37" s="13">
        <f t="shared" si="9"/>
        <v>0.15223991057829522</v>
      </c>
      <c r="R37" s="13">
        <f t="shared" si="9"/>
        <v>0.15985190610720679</v>
      </c>
      <c r="S37" s="13">
        <f t="shared" si="9"/>
        <v>0.16784450141257068</v>
      </c>
      <c r="T37" s="13">
        <f t="shared" si="9"/>
        <v>0.1762367264832001</v>
      </c>
      <c r="U37" s="13">
        <f t="shared" si="9"/>
        <v>0.18504856280735638</v>
      </c>
      <c r="V37" s="13">
        <f t="shared" si="9"/>
        <v>-8.3678971760396728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0"/>
  <sheetViews>
    <sheetView showGridLines="0" workbookViewId="0">
      <selection activeCell="C21" sqref="C21"/>
    </sheetView>
  </sheetViews>
  <sheetFormatPr defaultRowHeight="15" x14ac:dyDescent="0.25"/>
  <cols>
    <col min="1" max="1" width="4.7109375" customWidth="1"/>
    <col min="2" max="2" width="37" customWidth="1"/>
    <col min="3" max="22" width="16.7109375" customWidth="1"/>
  </cols>
  <sheetData>
    <row r="2" spans="2:22" ht="20.25" customHeight="1" x14ac:dyDescent="0.25">
      <c r="B2" s="2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2:22" ht="11.25" customHeight="1" x14ac:dyDescent="0.25"/>
    <row r="4" spans="2:22" ht="16.5" customHeight="1" x14ac:dyDescent="0.25">
      <c r="B4" s="4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ht="15.75" customHeight="1" x14ac:dyDescent="0.25">
      <c r="C5" s="26">
        <v>1</v>
      </c>
      <c r="D5" s="26">
        <f>C5+1</f>
        <v>2</v>
      </c>
      <c r="E5" s="26">
        <f t="shared" ref="E5:V6" si="0">D5+1</f>
        <v>3</v>
      </c>
      <c r="F5" s="26">
        <f t="shared" si="0"/>
        <v>4</v>
      </c>
      <c r="G5" s="26">
        <f t="shared" si="0"/>
        <v>5</v>
      </c>
      <c r="H5" s="26">
        <f t="shared" si="0"/>
        <v>6</v>
      </c>
      <c r="I5" s="26">
        <f t="shared" si="0"/>
        <v>7</v>
      </c>
      <c r="J5" s="26">
        <f t="shared" si="0"/>
        <v>8</v>
      </c>
      <c r="K5" s="26">
        <f t="shared" si="0"/>
        <v>9</v>
      </c>
      <c r="L5" s="26">
        <f t="shared" si="0"/>
        <v>10</v>
      </c>
      <c r="M5" s="26">
        <f t="shared" si="0"/>
        <v>11</v>
      </c>
      <c r="N5" s="26">
        <f t="shared" si="0"/>
        <v>12</v>
      </c>
      <c r="O5" s="26">
        <f t="shared" si="0"/>
        <v>13</v>
      </c>
      <c r="P5" s="26">
        <f t="shared" si="0"/>
        <v>14</v>
      </c>
      <c r="Q5" s="26">
        <f t="shared" si="0"/>
        <v>15</v>
      </c>
      <c r="R5" s="26">
        <f t="shared" si="0"/>
        <v>16</v>
      </c>
      <c r="S5" s="26">
        <f t="shared" si="0"/>
        <v>17</v>
      </c>
      <c r="T5" s="26">
        <f t="shared" si="0"/>
        <v>18</v>
      </c>
      <c r="U5" s="26">
        <f t="shared" si="0"/>
        <v>19</v>
      </c>
      <c r="V5" s="26">
        <f t="shared" si="0"/>
        <v>20</v>
      </c>
    </row>
    <row r="6" spans="2:22" ht="17.25" customHeight="1" x14ac:dyDescent="0.25">
      <c r="B6" s="4" t="s">
        <v>10</v>
      </c>
      <c r="C6" s="23">
        <v>2023</v>
      </c>
      <c r="D6" s="23">
        <f>C6+1</f>
        <v>2024</v>
      </c>
      <c r="E6" s="23">
        <f t="shared" si="0"/>
        <v>2025</v>
      </c>
      <c r="F6" s="23">
        <f t="shared" si="0"/>
        <v>2026</v>
      </c>
      <c r="G6" s="23">
        <f t="shared" si="0"/>
        <v>2027</v>
      </c>
      <c r="H6" s="23">
        <f t="shared" si="0"/>
        <v>2028</v>
      </c>
      <c r="I6" s="23">
        <f t="shared" si="0"/>
        <v>2029</v>
      </c>
      <c r="J6" s="23">
        <f t="shared" si="0"/>
        <v>2030</v>
      </c>
      <c r="K6" s="23">
        <f t="shared" si="0"/>
        <v>2031</v>
      </c>
      <c r="L6" s="23">
        <f t="shared" si="0"/>
        <v>2032</v>
      </c>
      <c r="M6" s="23">
        <f t="shared" si="0"/>
        <v>2033</v>
      </c>
      <c r="N6" s="23">
        <f t="shared" si="0"/>
        <v>2034</v>
      </c>
      <c r="O6" s="23">
        <f t="shared" si="0"/>
        <v>2035</v>
      </c>
      <c r="P6" s="23">
        <f t="shared" si="0"/>
        <v>2036</v>
      </c>
      <c r="Q6" s="23">
        <f t="shared" si="0"/>
        <v>2037</v>
      </c>
      <c r="R6" s="23">
        <f t="shared" si="0"/>
        <v>2038</v>
      </c>
      <c r="S6" s="23">
        <f t="shared" si="0"/>
        <v>2039</v>
      </c>
      <c r="T6" s="23">
        <f t="shared" si="0"/>
        <v>2040</v>
      </c>
      <c r="U6" s="23">
        <f t="shared" si="0"/>
        <v>2041</v>
      </c>
      <c r="V6" s="23">
        <f t="shared" si="0"/>
        <v>2042</v>
      </c>
    </row>
    <row r="7" spans="2:22" hidden="1" x14ac:dyDescent="0.25">
      <c r="B7" t="s">
        <v>51</v>
      </c>
      <c r="C7" s="34">
        <f>5</f>
        <v>5</v>
      </c>
      <c r="D7" s="9">
        <v>12</v>
      </c>
      <c r="E7" s="9">
        <v>12</v>
      </c>
      <c r="F7" s="9">
        <v>12</v>
      </c>
      <c r="G7" s="9">
        <v>12</v>
      </c>
      <c r="H7" s="9">
        <v>12</v>
      </c>
      <c r="I7" s="9">
        <v>12</v>
      </c>
      <c r="J7" s="9">
        <v>12</v>
      </c>
      <c r="K7" s="9">
        <v>12</v>
      </c>
      <c r="L7" s="9">
        <v>12</v>
      </c>
      <c r="M7" s="9">
        <v>12</v>
      </c>
      <c r="N7" s="9">
        <v>12</v>
      </c>
      <c r="O7" s="9">
        <v>12</v>
      </c>
      <c r="P7" s="9">
        <v>12</v>
      </c>
      <c r="Q7" s="9">
        <v>12</v>
      </c>
      <c r="R7" s="9">
        <v>12</v>
      </c>
      <c r="S7" s="9">
        <v>12</v>
      </c>
      <c r="T7" s="9">
        <v>12</v>
      </c>
      <c r="U7" s="9">
        <v>12</v>
      </c>
      <c r="V7" s="9">
        <v>12</v>
      </c>
    </row>
    <row r="8" spans="2:22" ht="15" hidden="1" customHeight="1" x14ac:dyDescent="0.25">
      <c r="B8" s="5" t="s">
        <v>0</v>
      </c>
      <c r="C8" s="13">
        <f>'Revenue &amp; Cost'!C8</f>
        <v>63.099617126399998</v>
      </c>
      <c r="D8" s="13">
        <f>'Revenue &amp; Cost'!D8</f>
        <v>63.099617126399998</v>
      </c>
      <c r="E8" s="13">
        <f>'Revenue &amp; Cost'!E8</f>
        <v>62.675037670399995</v>
      </c>
      <c r="F8" s="13">
        <f>'Revenue &amp; Cost'!F8</f>
        <v>60.368179046400002</v>
      </c>
      <c r="G8" s="13">
        <f>'Revenue &amp; Cost'!G8</f>
        <v>60.368179046400002</v>
      </c>
      <c r="H8" s="13">
        <f>'Revenue &amp; Cost'!H8</f>
        <v>60.368179046400002</v>
      </c>
      <c r="I8" s="13">
        <f>'Revenue &amp; Cost'!I8</f>
        <v>60.368179046400002</v>
      </c>
      <c r="J8" s="13">
        <f>'Revenue &amp; Cost'!J8</f>
        <v>60.368179046400002</v>
      </c>
      <c r="K8" s="13">
        <f>'Revenue &amp; Cost'!K8</f>
        <v>60.368179046400002</v>
      </c>
      <c r="L8" s="13">
        <f>'Revenue &amp; Cost'!L8</f>
        <v>60.368179046400002</v>
      </c>
      <c r="M8" s="13">
        <f>'Revenue &amp; Cost'!M8</f>
        <v>60.368179046400002</v>
      </c>
      <c r="N8" s="13">
        <f>'Revenue &amp; Cost'!N8</f>
        <v>60.368179046400002</v>
      </c>
      <c r="O8" s="13">
        <f>'Revenue &amp; Cost'!O8</f>
        <v>60.368179046400002</v>
      </c>
      <c r="P8" s="13">
        <f>'Revenue &amp; Cost'!P8</f>
        <v>60.368179046400002</v>
      </c>
      <c r="Q8" s="13">
        <f>'Revenue &amp; Cost'!Q8</f>
        <v>60.368179046400002</v>
      </c>
      <c r="R8" s="13">
        <f>'Revenue &amp; Cost'!R8</f>
        <v>60.368179046400002</v>
      </c>
      <c r="S8" s="13">
        <f>'Revenue &amp; Cost'!S8</f>
        <v>60.368179046400002</v>
      </c>
      <c r="T8" s="13">
        <f>'Revenue &amp; Cost'!T8</f>
        <v>60.368179046400002</v>
      </c>
      <c r="U8" s="13">
        <f>'Revenue &amp; Cost'!U8</f>
        <v>60.368179046400002</v>
      </c>
      <c r="V8" s="13">
        <f>'Revenue &amp; Cost'!V8</f>
        <v>33.982487193599994</v>
      </c>
    </row>
    <row r="9" spans="2:22" ht="20.100000000000001" hidden="1" customHeight="1" x14ac:dyDescent="0.25">
      <c r="B9" s="5" t="s">
        <v>26</v>
      </c>
      <c r="C9" s="13">
        <f>'Revenue &amp; Cost'!C12</f>
        <v>6.5429479200000005</v>
      </c>
      <c r="D9" s="13">
        <f>'Revenue &amp; Cost'!D12</f>
        <v>6.8564360600000009</v>
      </c>
      <c r="E9" s="13">
        <f>'Revenue &amp; Cost'!E12</f>
        <v>7.1860714150000025</v>
      </c>
      <c r="F9" s="13">
        <f>'Revenue &amp; Cost'!F12</f>
        <v>7.532661345750002</v>
      </c>
      <c r="G9" s="13">
        <f>'Revenue &amp; Cost'!G12</f>
        <v>7.8970535810375022</v>
      </c>
      <c r="H9" s="13">
        <f>'Revenue &amp; Cost'!H12</f>
        <v>8.2831719128893777</v>
      </c>
      <c r="I9" s="13">
        <f>'Revenue &amp; Cost'!I12</f>
        <v>8.6935430982938477</v>
      </c>
      <c r="J9" s="13">
        <f>'Revenue &amp; Cost'!J12</f>
        <v>9.1245226764885405</v>
      </c>
      <c r="K9" s="13">
        <f>'Revenue &amp; Cost'!K12</f>
        <v>9.5771410671129686</v>
      </c>
      <c r="L9" s="13">
        <f>'Revenue &amp; Cost'!L12</f>
        <v>10.052480210788616</v>
      </c>
      <c r="M9" s="13">
        <f>'Revenue &amp; Cost'!M12</f>
        <v>10.551676145168049</v>
      </c>
      <c r="N9" s="13">
        <f>'Revenue &amp; Cost'!N12</f>
        <v>11.075921709786449</v>
      </c>
      <c r="O9" s="13">
        <f>'Revenue &amp; Cost'!O12</f>
        <v>11.626469386155772</v>
      </c>
      <c r="P9" s="13">
        <f>'Revenue &amp; Cost'!P12</f>
        <v>12.204634279863562</v>
      </c>
      <c r="Q9" s="13">
        <f>'Revenue &amp; Cost'!Q12</f>
        <v>12.811797251776742</v>
      </c>
      <c r="R9" s="13">
        <f>'Revenue &amp; Cost'!R12</f>
        <v>13.449408205805579</v>
      </c>
      <c r="S9" s="13">
        <f>'Revenue &amp; Cost'!S12</f>
        <v>14.118989541055857</v>
      </c>
      <c r="T9" s="13">
        <f>'Revenue &amp; Cost'!T12</f>
        <v>14.822139776588651</v>
      </c>
      <c r="U9" s="13">
        <f>'Revenue &amp; Cost'!U12</f>
        <v>15.560537357418085</v>
      </c>
      <c r="V9" s="13">
        <f>'Revenue &amp; Cost'!V12</f>
        <v>8.4674666836593904</v>
      </c>
    </row>
    <row r="10" spans="2:22" ht="19.5" hidden="1" customHeight="1" x14ac:dyDescent="0.25">
      <c r="B10" s="11" t="s">
        <v>4</v>
      </c>
      <c r="C10" s="18">
        <f>C8-C9</f>
        <v>56.556669206399995</v>
      </c>
      <c r="D10" s="18">
        <f t="shared" ref="D10:V10" si="1">D8-D9</f>
        <v>56.243181066399998</v>
      </c>
      <c r="E10" s="18">
        <f t="shared" si="1"/>
        <v>55.488966255399994</v>
      </c>
      <c r="F10" s="18">
        <f t="shared" si="1"/>
        <v>52.835517700650001</v>
      </c>
      <c r="G10" s="18">
        <f t="shared" si="1"/>
        <v>52.471125465362498</v>
      </c>
      <c r="H10" s="18">
        <f t="shared" si="1"/>
        <v>52.085007133510622</v>
      </c>
      <c r="I10" s="18">
        <f t="shared" si="1"/>
        <v>51.674635948106157</v>
      </c>
      <c r="J10" s="18">
        <f t="shared" si="1"/>
        <v>51.243656369911463</v>
      </c>
      <c r="K10" s="18">
        <f t="shared" si="1"/>
        <v>50.791037979287033</v>
      </c>
      <c r="L10" s="18">
        <f t="shared" si="1"/>
        <v>50.315698835611386</v>
      </c>
      <c r="M10" s="18">
        <f t="shared" si="1"/>
        <v>49.816502901231956</v>
      </c>
      <c r="N10" s="18">
        <f t="shared" si="1"/>
        <v>49.292257336613552</v>
      </c>
      <c r="O10" s="18">
        <f t="shared" si="1"/>
        <v>48.741709660244226</v>
      </c>
      <c r="P10" s="18">
        <f t="shared" si="1"/>
        <v>48.16354476653644</v>
      </c>
      <c r="Q10" s="18">
        <f t="shared" si="1"/>
        <v>47.556381794623263</v>
      </c>
      <c r="R10" s="18">
        <f t="shared" si="1"/>
        <v>46.918770840594419</v>
      </c>
      <c r="S10" s="18">
        <f t="shared" si="1"/>
        <v>46.249189505344148</v>
      </c>
      <c r="T10" s="18">
        <f t="shared" si="1"/>
        <v>45.546039269811352</v>
      </c>
      <c r="U10" s="18">
        <f t="shared" si="1"/>
        <v>44.807641688981917</v>
      </c>
      <c r="V10" s="18">
        <f t="shared" si="1"/>
        <v>25.515020509940605</v>
      </c>
    </row>
    <row r="11" spans="2:22" ht="20.100000000000001" hidden="1" customHeight="1" x14ac:dyDescent="0.25">
      <c r="B11" s="5" t="s">
        <v>12</v>
      </c>
      <c r="C11" s="13">
        <f>'Revenue &amp; Cost'!C18</f>
        <v>14.765000000000001</v>
      </c>
      <c r="D11" s="13">
        <f>'Revenue &amp; Cost'!D18</f>
        <v>14.765000000000001</v>
      </c>
      <c r="E11" s="13">
        <f>'Revenue &amp; Cost'!E18</f>
        <v>14.765000000000001</v>
      </c>
      <c r="F11" s="13">
        <f>'Revenue &amp; Cost'!F18</f>
        <v>14.765000000000001</v>
      </c>
      <c r="G11" s="13">
        <f>'Revenue &amp; Cost'!G18</f>
        <v>14.765000000000001</v>
      </c>
      <c r="H11" s="13">
        <f>'Revenue &amp; Cost'!H18</f>
        <v>14.765000000000001</v>
      </c>
      <c r="I11" s="13">
        <f>'Revenue &amp; Cost'!I18</f>
        <v>14.765000000000001</v>
      </c>
      <c r="J11" s="13">
        <f>'Revenue &amp; Cost'!J18</f>
        <v>14.765000000000001</v>
      </c>
      <c r="K11" s="13">
        <f>'Revenue &amp; Cost'!K18</f>
        <v>14.765000000000001</v>
      </c>
      <c r="L11" s="13">
        <f>'Revenue &amp; Cost'!L18</f>
        <v>14.765000000000001</v>
      </c>
      <c r="M11" s="13">
        <f>'Revenue &amp; Cost'!M18</f>
        <v>14.765000000000001</v>
      </c>
      <c r="N11" s="13">
        <f>'Revenue &amp; Cost'!N18</f>
        <v>14.765000000000001</v>
      </c>
      <c r="O11" s="13">
        <f>'Revenue &amp; Cost'!O18</f>
        <v>14.765000000000001</v>
      </c>
      <c r="P11" s="13">
        <f>'Revenue &amp; Cost'!P18</f>
        <v>14.765000000000001</v>
      </c>
      <c r="Q11" s="13">
        <f>'Revenue &amp; Cost'!Q18</f>
        <v>14.765000000000001</v>
      </c>
      <c r="R11" s="13">
        <f>'Revenue &amp; Cost'!R18</f>
        <v>14.765000000000001</v>
      </c>
      <c r="S11" s="13">
        <f>'Revenue &amp; Cost'!S18</f>
        <v>14.765000000000001</v>
      </c>
      <c r="T11" s="13">
        <f>'Revenue &amp; Cost'!T18</f>
        <v>14.765000000000001</v>
      </c>
      <c r="U11" s="13">
        <f>'Revenue &amp; Cost'!U18</f>
        <v>14.765000000000001</v>
      </c>
      <c r="V11" s="13">
        <f>'Revenue &amp; Cost'!V18</f>
        <v>14.765000000000001</v>
      </c>
    </row>
    <row r="12" spans="2:22" ht="20.100000000000001" hidden="1" customHeight="1" x14ac:dyDescent="0.25">
      <c r="B12" s="14" t="s">
        <v>6</v>
      </c>
      <c r="C12" s="15">
        <f>C10-C11</f>
        <v>41.791669206399995</v>
      </c>
      <c r="D12" s="15">
        <f t="shared" ref="D12:V12" si="2">D10-D11</f>
        <v>41.478181066399998</v>
      </c>
      <c r="E12" s="15">
        <f t="shared" si="2"/>
        <v>40.723966255399993</v>
      </c>
      <c r="F12" s="15">
        <f t="shared" si="2"/>
        <v>38.070517700650001</v>
      </c>
      <c r="G12" s="15">
        <f t="shared" si="2"/>
        <v>37.706125465362497</v>
      </c>
      <c r="H12" s="15">
        <f t="shared" si="2"/>
        <v>37.320007133510622</v>
      </c>
      <c r="I12" s="15">
        <f t="shared" si="2"/>
        <v>36.909635948106157</v>
      </c>
      <c r="J12" s="15">
        <f t="shared" si="2"/>
        <v>36.478656369911462</v>
      </c>
      <c r="K12" s="15">
        <f t="shared" si="2"/>
        <v>36.026037979287032</v>
      </c>
      <c r="L12" s="15">
        <f t="shared" si="2"/>
        <v>35.550698835611385</v>
      </c>
      <c r="M12" s="15">
        <f t="shared" si="2"/>
        <v>35.051502901231956</v>
      </c>
      <c r="N12" s="15">
        <f t="shared" si="2"/>
        <v>34.527257336613552</v>
      </c>
      <c r="O12" s="15">
        <f t="shared" si="2"/>
        <v>33.976709660244225</v>
      </c>
      <c r="P12" s="15">
        <f t="shared" si="2"/>
        <v>33.398544766536439</v>
      </c>
      <c r="Q12" s="15">
        <f t="shared" si="2"/>
        <v>32.791381794623263</v>
      </c>
      <c r="R12" s="15">
        <f t="shared" si="2"/>
        <v>32.153770840594419</v>
      </c>
      <c r="S12" s="15">
        <f t="shared" si="2"/>
        <v>31.484189505344148</v>
      </c>
      <c r="T12" s="15">
        <f t="shared" si="2"/>
        <v>30.781039269811352</v>
      </c>
      <c r="U12" s="15">
        <f t="shared" si="2"/>
        <v>30.042641688981917</v>
      </c>
      <c r="V12" s="15">
        <f t="shared" si="2"/>
        <v>10.750020509940605</v>
      </c>
    </row>
    <row r="13" spans="2:22" ht="20.100000000000001" hidden="1" customHeight="1" x14ac:dyDescent="0.25">
      <c r="B13" s="5" t="s">
        <v>68</v>
      </c>
      <c r="C13" s="13">
        <f>'Projected P&amp;L'!C15</f>
        <v>0</v>
      </c>
      <c r="D13" s="13">
        <f>'Projected P&amp;L'!D15</f>
        <v>0</v>
      </c>
      <c r="E13" s="13">
        <f>'Projected P&amp;L'!E15</f>
        <v>0</v>
      </c>
      <c r="F13" s="13">
        <f>'Projected P&amp;L'!F15</f>
        <v>0</v>
      </c>
      <c r="G13" s="13">
        <f>'Projected P&amp;L'!G15</f>
        <v>5.0933775694357886</v>
      </c>
      <c r="H13" s="13">
        <f>'Projected P&amp;L'!H15</f>
        <v>5.6097000731681579</v>
      </c>
      <c r="I13" s="13">
        <f>'Projected P&amp;L'!I15</f>
        <v>6.1502157223502536</v>
      </c>
      <c r="J13" s="13">
        <f>'Projected P&amp;L'!J15</f>
        <v>6.7104159773636383</v>
      </c>
      <c r="K13" s="13">
        <f>'Projected P&amp;L'!K15</f>
        <v>7.2650477328753791</v>
      </c>
      <c r="L13" s="13">
        <f>'Projected P&amp;L'!L15</f>
        <v>7.8045833239103937</v>
      </c>
      <c r="M13" s="13">
        <f>'Projected P&amp;L'!M15</f>
        <v>8.1314132842448466</v>
      </c>
      <c r="N13" s="13">
        <f>'Projected P&amp;L'!N15</f>
        <v>8.2463739382037069</v>
      </c>
      <c r="O13" s="13">
        <f>'Projected P&amp;L'!O15</f>
        <v>8.1446673612191951</v>
      </c>
      <c r="P13" s="13">
        <f>'Projected P&amp;L'!P15</f>
        <v>7.995873109085947</v>
      </c>
      <c r="Q13" s="13">
        <f>'Projected P&amp;L'!Q15</f>
        <v>7.8396165350457228</v>
      </c>
      <c r="R13" s="13">
        <f>'Projected P&amp;L'!R15</f>
        <v>7.6755245230031717</v>
      </c>
      <c r="S13" s="13">
        <f>'Projected P&amp;L'!S15</f>
        <v>7.5032053010581823</v>
      </c>
      <c r="T13" s="13">
        <f>'Projected P&amp;L'!T15</f>
        <v>7.3222475087156278</v>
      </c>
      <c r="U13" s="13">
        <f>'Projected P&amp;L'!U15</f>
        <v>7.1322192174556323</v>
      </c>
      <c r="V13" s="13">
        <f>'Projected P&amp;L'!V15</f>
        <v>2.4702390760268953</v>
      </c>
    </row>
    <row r="14" spans="2:22" ht="20.100000000000001" hidden="1" customHeight="1" x14ac:dyDescent="0.25">
      <c r="B14" s="14" t="s">
        <v>36</v>
      </c>
      <c r="C14" s="13">
        <f>C12-C13</f>
        <v>41.791669206399995</v>
      </c>
      <c r="D14" s="13">
        <f t="shared" ref="D14:V14" si="3">D12-D13</f>
        <v>41.478181066399998</v>
      </c>
      <c r="E14" s="13">
        <f t="shared" si="3"/>
        <v>40.723966255399993</v>
      </c>
      <c r="F14" s="13">
        <f t="shared" si="3"/>
        <v>38.070517700650001</v>
      </c>
      <c r="G14" s="13">
        <f t="shared" si="3"/>
        <v>32.612747895926709</v>
      </c>
      <c r="H14" s="13">
        <f t="shared" si="3"/>
        <v>31.710307060342465</v>
      </c>
      <c r="I14" s="13">
        <f t="shared" si="3"/>
        <v>30.759420225755903</v>
      </c>
      <c r="J14" s="13">
        <f t="shared" si="3"/>
        <v>29.768240392547824</v>
      </c>
      <c r="K14" s="13">
        <f t="shared" si="3"/>
        <v>28.760990246411652</v>
      </c>
      <c r="L14" s="13">
        <f t="shared" si="3"/>
        <v>27.746115511700992</v>
      </c>
      <c r="M14" s="13">
        <f t="shared" si="3"/>
        <v>26.920089616987109</v>
      </c>
      <c r="N14" s="13">
        <f t="shared" si="3"/>
        <v>26.280883398409845</v>
      </c>
      <c r="O14" s="13">
        <f t="shared" si="3"/>
        <v>25.83204229902503</v>
      </c>
      <c r="P14" s="13">
        <f t="shared" si="3"/>
        <v>25.40267165745049</v>
      </c>
      <c r="Q14" s="13">
        <f t="shared" si="3"/>
        <v>24.951765259577542</v>
      </c>
      <c r="R14" s="13">
        <f t="shared" si="3"/>
        <v>24.478246317591246</v>
      </c>
      <c r="S14" s="13">
        <f t="shared" si="3"/>
        <v>23.980984204285967</v>
      </c>
      <c r="T14" s="13">
        <f t="shared" si="3"/>
        <v>23.458791761095725</v>
      </c>
      <c r="U14" s="13">
        <f t="shared" si="3"/>
        <v>22.910422471526285</v>
      </c>
      <c r="V14" s="13">
        <f t="shared" si="3"/>
        <v>8.2797814339137084</v>
      </c>
    </row>
    <row r="15" spans="2:22" ht="20.100000000000001" hidden="1" customHeight="1" x14ac:dyDescent="0.25">
      <c r="B15" s="27" t="s">
        <v>37</v>
      </c>
      <c r="C15" s="28">
        <f>C11</f>
        <v>14.765000000000001</v>
      </c>
      <c r="D15" s="28">
        <f t="shared" ref="D15:V15" si="4">D11</f>
        <v>14.765000000000001</v>
      </c>
      <c r="E15" s="28">
        <f t="shared" si="4"/>
        <v>14.765000000000001</v>
      </c>
      <c r="F15" s="28">
        <f t="shared" si="4"/>
        <v>14.765000000000001</v>
      </c>
      <c r="G15" s="28">
        <f t="shared" si="4"/>
        <v>14.765000000000001</v>
      </c>
      <c r="H15" s="28">
        <f t="shared" si="4"/>
        <v>14.765000000000001</v>
      </c>
      <c r="I15" s="28">
        <f t="shared" si="4"/>
        <v>14.765000000000001</v>
      </c>
      <c r="J15" s="28">
        <f t="shared" si="4"/>
        <v>14.765000000000001</v>
      </c>
      <c r="K15" s="28">
        <f t="shared" si="4"/>
        <v>14.765000000000001</v>
      </c>
      <c r="L15" s="28">
        <f t="shared" si="4"/>
        <v>14.765000000000001</v>
      </c>
      <c r="M15" s="28">
        <f t="shared" si="4"/>
        <v>14.765000000000001</v>
      </c>
      <c r="N15" s="28">
        <f t="shared" si="4"/>
        <v>14.765000000000001</v>
      </c>
      <c r="O15" s="28">
        <f t="shared" si="4"/>
        <v>14.765000000000001</v>
      </c>
      <c r="P15" s="28">
        <f t="shared" si="4"/>
        <v>14.765000000000001</v>
      </c>
      <c r="Q15" s="28">
        <f t="shared" si="4"/>
        <v>14.765000000000001</v>
      </c>
      <c r="R15" s="28">
        <f t="shared" si="4"/>
        <v>14.765000000000001</v>
      </c>
      <c r="S15" s="28">
        <f t="shared" si="4"/>
        <v>14.765000000000001</v>
      </c>
      <c r="T15" s="28">
        <f t="shared" si="4"/>
        <v>14.765000000000001</v>
      </c>
      <c r="U15" s="28">
        <f t="shared" si="4"/>
        <v>14.765000000000001</v>
      </c>
      <c r="V15" s="28">
        <f t="shared" si="4"/>
        <v>14.765000000000001</v>
      </c>
    </row>
    <row r="16" spans="2:22" hidden="1" x14ac:dyDescent="0.25">
      <c r="B16" s="29" t="s">
        <v>40</v>
      </c>
      <c r="C16" s="13">
        <f>'Revenue &amp; Cost'!C37</f>
        <v>7.9625781600000778E-2</v>
      </c>
      <c r="D16" s="13">
        <f>'Revenue &amp; Cost'!D37</f>
        <v>8.0736075000000795E-2</v>
      </c>
      <c r="E16" s="13">
        <f>'Revenue &amp; Cost'!E37</f>
        <v>-2.137198524999917E-2</v>
      </c>
      <c r="F16" s="13">
        <f>'Revenue &amp; Cost'!F37</f>
        <v>-0.48770313331250037</v>
      </c>
      <c r="G16" s="13">
        <f>'Revenue &amp; Cost'!G37</f>
        <v>9.3462098821873951E-2</v>
      </c>
      <c r="H16" s="13">
        <f>'Revenue &amp; Cost'!H37</f>
        <v>9.8135203762968359E-2</v>
      </c>
      <c r="I16" s="13">
        <f>'Revenue &amp; Cost'!I37</f>
        <v>0.10304196395111731</v>
      </c>
      <c r="J16" s="13">
        <f>'Revenue &amp; Cost'!J37</f>
        <v>0.108194062148673</v>
      </c>
      <c r="K16" s="13">
        <f>'Revenue &amp; Cost'!K37</f>
        <v>0.1136037652561086</v>
      </c>
      <c r="L16" s="13">
        <f>'Revenue &amp; Cost'!L37</f>
        <v>0.11928395351891297</v>
      </c>
      <c r="M16" s="13">
        <f>'Revenue &amp; Cost'!M37</f>
        <v>0.12524815119485666</v>
      </c>
      <c r="N16" s="13">
        <f>'Revenue &amp; Cost'!N37</f>
        <v>0.13151055875460216</v>
      </c>
      <c r="O16" s="13">
        <f>'Revenue &amp; Cost'!O37</f>
        <v>0.13808608669232925</v>
      </c>
      <c r="P16" s="13">
        <f>'Revenue &amp; Cost'!P37</f>
        <v>0.14499039102694766</v>
      </c>
      <c r="Q16" s="13">
        <f>'Revenue &amp; Cost'!Q37</f>
        <v>0.15223991057829522</v>
      </c>
      <c r="R16" s="13">
        <f>'Revenue &amp; Cost'!R37</f>
        <v>0.15985190610720679</v>
      </c>
      <c r="S16" s="13">
        <f>'Revenue &amp; Cost'!S37</f>
        <v>0.16784450141257068</v>
      </c>
      <c r="T16" s="13">
        <f>'Revenue &amp; Cost'!T37</f>
        <v>0.1762367264832001</v>
      </c>
      <c r="U16" s="13">
        <f>'Revenue &amp; Cost'!U37</f>
        <v>0.18504856280735638</v>
      </c>
      <c r="V16" s="13">
        <f>'Revenue &amp; Cost'!V37</f>
        <v>-8.3678971760396728</v>
      </c>
    </row>
    <row r="17" spans="2:22" ht="19.5" hidden="1" customHeight="1" x14ac:dyDescent="0.25">
      <c r="B17" s="29" t="s">
        <v>42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</row>
    <row r="18" spans="2:22" ht="20.100000000000001" customHeight="1" x14ac:dyDescent="0.25">
      <c r="B18" s="11" t="s">
        <v>41</v>
      </c>
      <c r="C18" s="18">
        <f>C14+C15-C16</f>
        <v>56.477043424799994</v>
      </c>
      <c r="D18" s="18">
        <f t="shared" ref="D18:V18" si="5">D14+D15-D16</f>
        <v>56.162444991399994</v>
      </c>
      <c r="E18" s="18">
        <f t="shared" si="5"/>
        <v>55.510338240649993</v>
      </c>
      <c r="F18" s="18">
        <f t="shared" si="5"/>
        <v>53.323220833962502</v>
      </c>
      <c r="G18" s="18">
        <f t="shared" si="5"/>
        <v>47.284285797104836</v>
      </c>
      <c r="H18" s="18">
        <f t="shared" si="5"/>
        <v>46.377171856579494</v>
      </c>
      <c r="I18" s="18">
        <f t="shared" si="5"/>
        <v>45.42137826180479</v>
      </c>
      <c r="J18" s="18">
        <f t="shared" si="5"/>
        <v>44.425046330399155</v>
      </c>
      <c r="K18" s="18">
        <f t="shared" si="5"/>
        <v>43.412386481155544</v>
      </c>
      <c r="L18" s="18">
        <f t="shared" si="5"/>
        <v>42.391831558182076</v>
      </c>
      <c r="M18" s="18">
        <f t="shared" si="5"/>
        <v>41.55984146579226</v>
      </c>
      <c r="N18" s="18">
        <f t="shared" si="5"/>
        <v>40.914372839655243</v>
      </c>
      <c r="O18" s="18">
        <f t="shared" si="5"/>
        <v>40.458956212332708</v>
      </c>
      <c r="P18" s="18">
        <f t="shared" si="5"/>
        <v>40.022681266423547</v>
      </c>
      <c r="Q18" s="18">
        <f t="shared" si="5"/>
        <v>39.564525348999247</v>
      </c>
      <c r="R18" s="18">
        <f t="shared" si="5"/>
        <v>39.083394411484036</v>
      </c>
      <c r="S18" s="18">
        <f t="shared" si="5"/>
        <v>38.578139702873401</v>
      </c>
      <c r="T18" s="18">
        <f t="shared" si="5"/>
        <v>38.047555034612529</v>
      </c>
      <c r="U18" s="18">
        <f t="shared" si="5"/>
        <v>37.490373908718936</v>
      </c>
      <c r="V18" s="18">
        <f t="shared" si="5"/>
        <v>31.412678609953382</v>
      </c>
    </row>
    <row r="19" spans="2:22" ht="18" customHeight="1" x14ac:dyDescent="0.25">
      <c r="B19" s="30" t="s">
        <v>45</v>
      </c>
      <c r="C19" s="35">
        <f>WACC!L8</f>
        <v>0.13466909471345379</v>
      </c>
      <c r="D19" s="6"/>
      <c r="E19" s="6"/>
      <c r="F19" s="6"/>
      <c r="G19" s="6"/>
    </row>
    <row r="20" spans="2:22" ht="20.100000000000001" customHeight="1" x14ac:dyDescent="0.25">
      <c r="B20" s="5" t="s">
        <v>43</v>
      </c>
      <c r="C20" s="13">
        <f>5/12</f>
        <v>0.41666666666666669</v>
      </c>
      <c r="D20" s="13">
        <f>C20+1</f>
        <v>1.4166666666666667</v>
      </c>
      <c r="E20" s="13">
        <f t="shared" ref="E20:V20" si="6">D20+1</f>
        <v>2.416666666666667</v>
      </c>
      <c r="F20" s="13">
        <f t="shared" si="6"/>
        <v>3.416666666666667</v>
      </c>
      <c r="G20" s="13">
        <f t="shared" si="6"/>
        <v>4.416666666666667</v>
      </c>
      <c r="H20" s="13">
        <f t="shared" si="6"/>
        <v>5.416666666666667</v>
      </c>
      <c r="I20" s="13">
        <f t="shared" si="6"/>
        <v>6.416666666666667</v>
      </c>
      <c r="J20" s="13">
        <f t="shared" si="6"/>
        <v>7.416666666666667</v>
      </c>
      <c r="K20" s="13">
        <f t="shared" si="6"/>
        <v>8.4166666666666679</v>
      </c>
      <c r="L20" s="13">
        <f t="shared" si="6"/>
        <v>9.4166666666666679</v>
      </c>
      <c r="M20" s="13">
        <f t="shared" si="6"/>
        <v>10.416666666666668</v>
      </c>
      <c r="N20" s="13">
        <f t="shared" si="6"/>
        <v>11.416666666666668</v>
      </c>
      <c r="O20" s="13">
        <f t="shared" si="6"/>
        <v>12.416666666666668</v>
      </c>
      <c r="P20" s="13">
        <f t="shared" si="6"/>
        <v>13.416666666666668</v>
      </c>
      <c r="Q20" s="13">
        <f t="shared" si="6"/>
        <v>14.416666666666668</v>
      </c>
      <c r="R20" s="13">
        <f t="shared" si="6"/>
        <v>15.416666666666668</v>
      </c>
      <c r="S20" s="13">
        <f t="shared" si="6"/>
        <v>16.416666666666668</v>
      </c>
      <c r="T20" s="13">
        <f t="shared" si="6"/>
        <v>17.416666666666668</v>
      </c>
      <c r="U20" s="13">
        <f t="shared" si="6"/>
        <v>18.416666666666668</v>
      </c>
      <c r="V20" s="13">
        <f t="shared" si="6"/>
        <v>19.416666666666668</v>
      </c>
    </row>
    <row r="21" spans="2:22" ht="20.100000000000001" customHeight="1" x14ac:dyDescent="0.25">
      <c r="B21" s="5" t="s">
        <v>44</v>
      </c>
      <c r="C21" s="13">
        <f>1/(1+$C$19)^C20</f>
        <v>0.94871948977218978</v>
      </c>
      <c r="D21" s="13">
        <f t="shared" ref="D21:V21" si="7">1/(1+$C$19)^D20</f>
        <v>0.83611997030004326</v>
      </c>
      <c r="E21" s="13">
        <f t="shared" si="7"/>
        <v>0.73688441343438082</v>
      </c>
      <c r="F21" s="13">
        <f t="shared" si="7"/>
        <v>0.64942670675318925</v>
      </c>
      <c r="G21" s="13">
        <f t="shared" si="7"/>
        <v>0.57234898683584368</v>
      </c>
      <c r="H21" s="13">
        <f t="shared" si="7"/>
        <v>0.50441929678218933</v>
      </c>
      <c r="I21" s="13">
        <f t="shared" si="7"/>
        <v>0.4445518954665581</v>
      </c>
      <c r="J21" s="13">
        <f t="shared" si="7"/>
        <v>0.39178990380347328</v>
      </c>
      <c r="K21" s="13">
        <f t="shared" si="7"/>
        <v>0.34529001065496967</v>
      </c>
      <c r="L21" s="13">
        <f t="shared" si="7"/>
        <v>0.30430899392934313</v>
      </c>
      <c r="M21" s="13">
        <f t="shared" si="7"/>
        <v>0.26819184143390506</v>
      </c>
      <c r="N21" s="13">
        <f t="shared" si="7"/>
        <v>0.23636128161367917</v>
      </c>
      <c r="O21" s="13">
        <f t="shared" si="7"/>
        <v>0.20830855684261781</v>
      </c>
      <c r="P21" s="13">
        <f t="shared" si="7"/>
        <v>0.18358529179401292</v>
      </c>
      <c r="Q21" s="13">
        <f t="shared" si="7"/>
        <v>0.161796326919766</v>
      </c>
      <c r="R21" s="13">
        <f t="shared" si="7"/>
        <v>0.14259340249381305</v>
      </c>
      <c r="S21" s="13">
        <f t="shared" si="7"/>
        <v>0.12566959226982666</v>
      </c>
      <c r="T21" s="13">
        <f t="shared" si="7"/>
        <v>0.11075439778463603</v>
      </c>
      <c r="U21" s="13">
        <f t="shared" si="7"/>
        <v>9.7609424898107103E-2</v>
      </c>
      <c r="V21" s="13">
        <f t="shared" si="7"/>
        <v>8.6024573466290721E-2</v>
      </c>
    </row>
    <row r="22" spans="2:22" x14ac:dyDescent="0.25">
      <c r="C22" s="6"/>
      <c r="D22" s="6"/>
      <c r="E22" s="6"/>
      <c r="F22" s="6"/>
      <c r="G22" s="6"/>
    </row>
    <row r="23" spans="2:22" x14ac:dyDescent="0.25">
      <c r="B23" s="5" t="s">
        <v>46</v>
      </c>
      <c r="C23" s="13">
        <f>C18*C21</f>
        <v>53.580871821818057</v>
      </c>
      <c r="D23" s="13">
        <f t="shared" ref="D23:V23" si="8">D18*D21</f>
        <v>46.958541838187173</v>
      </c>
      <c r="E23" s="13">
        <f t="shared" si="8"/>
        <v>40.90470303400545</v>
      </c>
      <c r="F23" s="13">
        <f t="shared" si="8"/>
        <v>34.629523699673321</v>
      </c>
      <c r="G23" s="13">
        <f t="shared" si="8"/>
        <v>27.063113069229427</v>
      </c>
      <c r="H23" s="13">
        <f t="shared" si="8"/>
        <v>23.393540414642569</v>
      </c>
      <c r="I23" s="13">
        <f t="shared" si="8"/>
        <v>20.192159800988836</v>
      </c>
      <c r="J23" s="13">
        <f t="shared" si="8"/>
        <v>17.40528462825193</v>
      </c>
      <c r="K23" s="13">
        <f t="shared" si="8"/>
        <v>14.989863390635859</v>
      </c>
      <c r="L23" s="13">
        <f t="shared" si="8"/>
        <v>12.900215612292566</v>
      </c>
      <c r="M23" s="13">
        <f t="shared" si="8"/>
        <v>11.146010412411991</v>
      </c>
      <c r="N23" s="13">
        <f t="shared" si="8"/>
        <v>9.6705736008008198</v>
      </c>
      <c r="O23" s="13">
        <f t="shared" si="8"/>
        <v>8.4279467799496928</v>
      </c>
      <c r="P23" s="13">
        <f t="shared" si="8"/>
        <v>7.3475756186751413</v>
      </c>
      <c r="Q23" s="13">
        <f t="shared" si="8"/>
        <v>6.4013948777920513</v>
      </c>
      <c r="R23" s="13">
        <f t="shared" si="8"/>
        <v>5.5730341901411871</v>
      </c>
      <c r="S23" s="13">
        <f t="shared" si="8"/>
        <v>4.8480990869885119</v>
      </c>
      <c r="T23" s="13">
        <f t="shared" si="8"/>
        <v>4.2139340450363072</v>
      </c>
      <c r="U23" s="13">
        <f t="shared" si="8"/>
        <v>3.6594138364450552</v>
      </c>
      <c r="V23" s="13">
        <f t="shared" si="8"/>
        <v>2.702262278854914</v>
      </c>
    </row>
    <row r="25" spans="2:22" ht="22.5" customHeight="1" x14ac:dyDescent="0.25">
      <c r="B25" s="4" t="s">
        <v>50</v>
      </c>
      <c r="C25" s="31">
        <f>SUM(C23:V23)</f>
        <v>356.00806203682083</v>
      </c>
    </row>
    <row r="27" spans="2:22" ht="19.5" customHeight="1" x14ac:dyDescent="0.25">
      <c r="B27" s="5" t="s">
        <v>47</v>
      </c>
      <c r="C27" s="32">
        <v>0.9</v>
      </c>
    </row>
    <row r="28" spans="2:22" ht="21" customHeight="1" x14ac:dyDescent="0.25">
      <c r="B28" s="4" t="s">
        <v>48</v>
      </c>
      <c r="C28" s="31">
        <f>C25*C27</f>
        <v>320.40725583313878</v>
      </c>
    </row>
    <row r="35" ht="17.25" customHeight="1" x14ac:dyDescent="0.25"/>
    <row r="40" ht="19.5" customHeigh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>
      <selection activeCell="C11" sqref="C11"/>
    </sheetView>
  </sheetViews>
  <sheetFormatPr defaultRowHeight="15" x14ac:dyDescent="0.25"/>
  <cols>
    <col min="1" max="1" width="4.85546875" customWidth="1"/>
    <col min="2" max="2" width="32.85546875" customWidth="1"/>
    <col min="3" max="3" width="26.28515625" customWidth="1"/>
  </cols>
  <sheetData>
    <row r="2" spans="2:3" ht="18.75" x14ac:dyDescent="0.25">
      <c r="B2" s="2" t="s">
        <v>22</v>
      </c>
      <c r="C2" s="1"/>
    </row>
    <row r="4" spans="2:3" ht="15.75" customHeight="1" x14ac:dyDescent="0.25">
      <c r="B4" s="3" t="s">
        <v>62</v>
      </c>
      <c r="C4" s="3"/>
    </row>
    <row r="6" spans="2:3" ht="20.25" customHeight="1" x14ac:dyDescent="0.25">
      <c r="B6" s="74" t="s">
        <v>52</v>
      </c>
      <c r="C6" s="74"/>
    </row>
    <row r="7" spans="2:3" ht="19.5" customHeight="1" x14ac:dyDescent="0.25">
      <c r="B7" s="36" t="s">
        <v>34</v>
      </c>
      <c r="C7" s="37" t="s">
        <v>53</v>
      </c>
    </row>
    <row r="8" spans="2:3" x14ac:dyDescent="0.25">
      <c r="B8" s="38" t="s">
        <v>54</v>
      </c>
      <c r="C8" s="39">
        <v>0.22</v>
      </c>
    </row>
    <row r="9" spans="2:3" x14ac:dyDescent="0.25">
      <c r="B9" s="43" t="s">
        <v>60</v>
      </c>
      <c r="C9" s="40">
        <v>0.04</v>
      </c>
    </row>
    <row r="10" spans="2:3" x14ac:dyDescent="0.25">
      <c r="B10" s="43" t="s">
        <v>61</v>
      </c>
      <c r="C10" s="39">
        <v>0.1</v>
      </c>
    </row>
    <row r="11" spans="2:3" x14ac:dyDescent="0.25">
      <c r="B11" s="38" t="s">
        <v>55</v>
      </c>
      <c r="C11" s="44">
        <f>C8*(1+C9)*(1+C10)</f>
        <v>0.25168000000000001</v>
      </c>
    </row>
    <row r="12" spans="2:3" x14ac:dyDescent="0.25">
      <c r="B12" s="38" t="s">
        <v>56</v>
      </c>
      <c r="C12" s="41" t="s">
        <v>57</v>
      </c>
    </row>
    <row r="13" spans="2:3" x14ac:dyDescent="0.25">
      <c r="B13" s="38" t="s">
        <v>58</v>
      </c>
      <c r="C13" s="42">
        <v>42460</v>
      </c>
    </row>
    <row r="14" spans="2:3" x14ac:dyDescent="0.25">
      <c r="B14" s="38" t="s">
        <v>59</v>
      </c>
      <c r="C14" s="42">
        <v>46112</v>
      </c>
    </row>
  </sheetData>
  <mergeCells count="1">
    <mergeCell ref="B6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showGridLines="0" tabSelected="1" workbookViewId="0">
      <selection activeCell="B4" sqref="B4:F10"/>
    </sheetView>
  </sheetViews>
  <sheetFormatPr defaultRowHeight="15" x14ac:dyDescent="0.25"/>
  <cols>
    <col min="1" max="1" width="4.42578125" customWidth="1"/>
    <col min="2" max="2" width="34.28515625" customWidth="1"/>
    <col min="3" max="3" width="14.140625" customWidth="1"/>
    <col min="4" max="4" width="9.5703125" customWidth="1"/>
    <col min="6" max="6" width="13.28515625" customWidth="1"/>
    <col min="10" max="10" width="9.7109375" customWidth="1"/>
    <col min="11" max="11" width="11.42578125" customWidth="1"/>
    <col min="12" max="12" width="12" customWidth="1"/>
  </cols>
  <sheetData>
    <row r="2" spans="2:12" ht="18.75" x14ac:dyDescent="0.25">
      <c r="B2" s="2" t="s">
        <v>22</v>
      </c>
      <c r="C2" s="1"/>
      <c r="D2" s="1"/>
      <c r="E2" s="1"/>
      <c r="F2" s="1"/>
    </row>
    <row r="3" spans="2:12" ht="12.75" customHeight="1" x14ac:dyDescent="0.25"/>
    <row r="4" spans="2:12" ht="19.5" customHeight="1" x14ac:dyDescent="0.25">
      <c r="B4" s="30" t="s">
        <v>63</v>
      </c>
      <c r="C4" s="3"/>
      <c r="D4" s="3"/>
      <c r="E4" s="3"/>
      <c r="F4" s="3"/>
      <c r="H4" s="30" t="s">
        <v>97</v>
      </c>
      <c r="I4" s="33"/>
      <c r="J4" s="33"/>
      <c r="K4" s="33"/>
      <c r="L4" s="33"/>
    </row>
    <row r="6" spans="2:12" ht="20.100000000000001" customHeight="1" x14ac:dyDescent="0.25">
      <c r="B6" s="46" t="s">
        <v>64</v>
      </c>
      <c r="F6" s="56">
        <f>F17</f>
        <v>0.76651046207497819</v>
      </c>
      <c r="H6" s="7" t="s">
        <v>49</v>
      </c>
      <c r="L6" s="72">
        <v>2.75E-2</v>
      </c>
    </row>
    <row r="7" spans="2:12" ht="20.100000000000001" customHeight="1" x14ac:dyDescent="0.25">
      <c r="B7" s="46" t="s">
        <v>96</v>
      </c>
      <c r="F7" s="56">
        <f>F25</f>
        <v>8.905007999999999E-2</v>
      </c>
      <c r="H7" s="7" t="s">
        <v>45</v>
      </c>
      <c r="L7" s="72">
        <f>F10</f>
        <v>0.10716909471345379</v>
      </c>
    </row>
    <row r="8" spans="2:12" ht="20.100000000000001" customHeight="1" x14ac:dyDescent="0.25">
      <c r="B8" s="46" t="s">
        <v>66</v>
      </c>
      <c r="F8" s="56">
        <f>F18</f>
        <v>0.23348953792502178</v>
      </c>
      <c r="H8" s="30" t="s">
        <v>97</v>
      </c>
      <c r="I8" s="59"/>
      <c r="J8" s="59"/>
      <c r="K8" s="59"/>
      <c r="L8" s="73">
        <f>SUM(L6:L7)</f>
        <v>0.13466909471345379</v>
      </c>
    </row>
    <row r="9" spans="2:12" ht="20.100000000000001" customHeight="1" x14ac:dyDescent="0.25">
      <c r="B9" s="46" t="s">
        <v>67</v>
      </c>
      <c r="F9" s="56">
        <f>F33</f>
        <v>0.16665105036669869</v>
      </c>
    </row>
    <row r="10" spans="2:12" x14ac:dyDescent="0.25">
      <c r="B10" s="11" t="s">
        <v>45</v>
      </c>
      <c r="C10" s="47"/>
      <c r="D10" s="47"/>
      <c r="E10" s="47"/>
      <c r="F10" s="57">
        <f>F6*F7+F8*F9</f>
        <v>0.10716909471345379</v>
      </c>
    </row>
    <row r="12" spans="2:12" ht="20.25" customHeight="1" x14ac:dyDescent="0.25">
      <c r="B12" s="30" t="s">
        <v>72</v>
      </c>
      <c r="C12" s="3"/>
      <c r="D12" s="3"/>
      <c r="E12" s="3"/>
      <c r="F12" s="55" t="s">
        <v>94</v>
      </c>
      <c r="H12" s="66"/>
      <c r="I12" s="66"/>
      <c r="J12" s="67" t="s">
        <v>103</v>
      </c>
      <c r="K12" s="67"/>
      <c r="L12" s="67"/>
    </row>
    <row r="13" spans="2:12" x14ac:dyDescent="0.25">
      <c r="H13" s="66"/>
      <c r="I13" s="66"/>
      <c r="J13" s="68">
        <v>0.11899999999999999</v>
      </c>
      <c r="K13" s="68">
        <v>0.11650000000000001</v>
      </c>
      <c r="L13" s="67"/>
    </row>
    <row r="14" spans="2:12" ht="18" customHeight="1" x14ac:dyDescent="0.25">
      <c r="B14" s="7" t="s">
        <v>69</v>
      </c>
      <c r="F14">
        <f>112.07+169.27</f>
        <v>281.34000000000003</v>
      </c>
      <c r="H14" s="66"/>
      <c r="I14" s="66"/>
      <c r="J14" s="67">
        <v>112.07</v>
      </c>
      <c r="K14" s="67">
        <v>169.27</v>
      </c>
      <c r="L14" s="67"/>
    </row>
    <row r="15" spans="2:12" ht="18" customHeight="1" x14ac:dyDescent="0.25">
      <c r="B15" s="7" t="s">
        <v>70</v>
      </c>
      <c r="F15">
        <v>85.7</v>
      </c>
      <c r="H15" s="66"/>
      <c r="I15" s="66"/>
      <c r="J15" s="69">
        <f>J14/F14</f>
        <v>0.39834364114594434</v>
      </c>
      <c r="K15" s="68">
        <f>1-J15</f>
        <v>0.60165635885405566</v>
      </c>
      <c r="L15" s="67"/>
    </row>
    <row r="16" spans="2:12" ht="18" customHeight="1" x14ac:dyDescent="0.25">
      <c r="B16" s="7" t="s">
        <v>71</v>
      </c>
      <c r="F16">
        <f>F14+F15</f>
        <v>367.04</v>
      </c>
    </row>
    <row r="17" spans="2:8" ht="18" customHeight="1" x14ac:dyDescent="0.25">
      <c r="B17" s="7" t="s">
        <v>77</v>
      </c>
      <c r="F17" s="58">
        <f>F14/F16</f>
        <v>0.76651046207497819</v>
      </c>
    </row>
    <row r="18" spans="2:8" ht="18" customHeight="1" x14ac:dyDescent="0.25">
      <c r="B18" s="7" t="s">
        <v>78</v>
      </c>
      <c r="F18" s="70">
        <f>F15/F16</f>
        <v>0.23348953792502178</v>
      </c>
    </row>
    <row r="20" spans="2:8" ht="19.5" customHeight="1" x14ac:dyDescent="0.25">
      <c r="B20" s="30" t="s">
        <v>65</v>
      </c>
      <c r="C20" s="3"/>
      <c r="D20" s="3"/>
      <c r="E20" s="3"/>
      <c r="F20" s="3"/>
    </row>
    <row r="22" spans="2:8" ht="18" customHeight="1" x14ac:dyDescent="0.25">
      <c r="B22" s="7" t="s">
        <v>73</v>
      </c>
      <c r="F22" s="56">
        <f>J13</f>
        <v>0.11899999999999999</v>
      </c>
      <c r="G22" s="56"/>
    </row>
    <row r="23" spans="2:8" ht="18" customHeight="1" x14ac:dyDescent="0.25">
      <c r="B23" s="7" t="s">
        <v>74</v>
      </c>
      <c r="F23" s="56">
        <f>'Tax Rate'!C11</f>
        <v>0.25168000000000001</v>
      </c>
    </row>
    <row r="24" spans="2:8" ht="18" customHeight="1" x14ac:dyDescent="0.25">
      <c r="B24" s="7" t="s">
        <v>75</v>
      </c>
      <c r="F24" s="58">
        <f>(1-F23)</f>
        <v>0.74831999999999999</v>
      </c>
    </row>
    <row r="25" spans="2:8" ht="18" customHeight="1" x14ac:dyDescent="0.25">
      <c r="B25" s="7" t="s">
        <v>76</v>
      </c>
      <c r="F25" s="56">
        <f>F22*F24</f>
        <v>8.905007999999999E-2</v>
      </c>
    </row>
    <row r="27" spans="2:8" ht="19.5" customHeight="1" x14ac:dyDescent="0.25">
      <c r="B27" s="30" t="s">
        <v>79</v>
      </c>
      <c r="C27" s="3"/>
      <c r="D27" s="3"/>
      <c r="E27" s="3"/>
      <c r="F27" s="55" t="s">
        <v>104</v>
      </c>
    </row>
    <row r="29" spans="2:8" ht="18" customHeight="1" x14ac:dyDescent="0.25">
      <c r="B29" s="7" t="s">
        <v>80</v>
      </c>
      <c r="F29" s="56">
        <v>7.3999999999999996E-2</v>
      </c>
      <c r="H29" t="s">
        <v>95</v>
      </c>
    </row>
    <row r="30" spans="2:8" ht="18" customHeight="1" x14ac:dyDescent="0.25">
      <c r="B30" s="7" t="s">
        <v>81</v>
      </c>
      <c r="F30" s="6">
        <f>C51</f>
        <v>1.4038037934348284</v>
      </c>
    </row>
    <row r="31" spans="2:8" ht="18" customHeight="1" x14ac:dyDescent="0.25">
      <c r="B31" s="7" t="s">
        <v>82</v>
      </c>
      <c r="F31" s="56">
        <v>0.14000000000000001</v>
      </c>
      <c r="H31" t="s">
        <v>105</v>
      </c>
    </row>
    <row r="32" spans="2:8" ht="18" customHeight="1" x14ac:dyDescent="0.25">
      <c r="B32" s="7" t="s">
        <v>83</v>
      </c>
      <c r="F32" s="56">
        <f>F31-F29</f>
        <v>6.6000000000000017E-2</v>
      </c>
    </row>
    <row r="33" spans="1:11" ht="18" customHeight="1" x14ac:dyDescent="0.25">
      <c r="B33" s="7" t="s">
        <v>67</v>
      </c>
      <c r="F33" s="56">
        <f>F29+F30*F32</f>
        <v>0.16665105036669869</v>
      </c>
    </row>
    <row r="35" spans="1:11" ht="17.25" customHeight="1" x14ac:dyDescent="0.25">
      <c r="B35" s="30" t="s">
        <v>84</v>
      </c>
      <c r="C35" s="3"/>
      <c r="D35" s="3"/>
      <c r="E35" s="3"/>
      <c r="F35" s="3"/>
    </row>
    <row r="38" spans="1:11" x14ac:dyDescent="0.25">
      <c r="B38" s="79" t="s">
        <v>85</v>
      </c>
      <c r="C38" s="75" t="s">
        <v>86</v>
      </c>
      <c r="D38" s="75" t="s">
        <v>91</v>
      </c>
      <c r="E38" s="81" t="s">
        <v>87</v>
      </c>
      <c r="F38" s="82"/>
      <c r="G38" s="82"/>
      <c r="H38" s="82"/>
      <c r="I38" s="83"/>
      <c r="J38" s="75" t="s">
        <v>88</v>
      </c>
      <c r="K38" s="75" t="s">
        <v>89</v>
      </c>
    </row>
    <row r="39" spans="1:11" x14ac:dyDescent="0.25">
      <c r="B39" s="80"/>
      <c r="C39" s="76"/>
      <c r="D39" s="76"/>
      <c r="E39" s="50">
        <v>2022</v>
      </c>
      <c r="F39" s="50">
        <v>2021</v>
      </c>
      <c r="G39" s="51">
        <v>2020</v>
      </c>
      <c r="H39" s="51">
        <v>2019</v>
      </c>
      <c r="I39" s="51">
        <v>2018</v>
      </c>
      <c r="J39" s="76"/>
      <c r="K39" s="76"/>
    </row>
    <row r="40" spans="1:11" x14ac:dyDescent="0.25">
      <c r="A40" s="26">
        <v>1</v>
      </c>
      <c r="B40" s="48" t="s">
        <v>98</v>
      </c>
      <c r="C40" s="60">
        <v>31.12</v>
      </c>
      <c r="D40" s="48">
        <v>0.59</v>
      </c>
      <c r="E40" s="48">
        <v>0.57999999999999996</v>
      </c>
      <c r="F40" s="48">
        <v>8.7100000000000009</v>
      </c>
      <c r="G40" s="48">
        <v>3.33</v>
      </c>
      <c r="H40" s="48">
        <v>1.85</v>
      </c>
      <c r="I40" s="48">
        <v>0.76</v>
      </c>
      <c r="J40" s="49">
        <f>AVERAGE(E40:I40)</f>
        <v>3.0460000000000003</v>
      </c>
      <c r="K40" s="54">
        <f>D40/(1+((1-'Tax Rate'!$C$11)*J40))</f>
        <v>0.17991190732382709</v>
      </c>
    </row>
    <row r="41" spans="1:11" x14ac:dyDescent="0.25">
      <c r="A41" s="26">
        <f>A40+1</f>
        <v>2</v>
      </c>
      <c r="B41" s="48" t="s">
        <v>99</v>
      </c>
      <c r="C41" s="60">
        <v>53.99</v>
      </c>
      <c r="D41" s="48">
        <v>-0.02</v>
      </c>
      <c r="E41" s="48">
        <v>4.49</v>
      </c>
      <c r="F41" s="48">
        <v>0</v>
      </c>
      <c r="G41" s="48">
        <v>0</v>
      </c>
      <c r="H41" s="48">
        <v>0</v>
      </c>
      <c r="I41" s="48">
        <v>0</v>
      </c>
      <c r="J41" s="49">
        <f t="shared" ref="J41:J44" si="0">AVERAGE(E41:I41)</f>
        <v>0.89800000000000002</v>
      </c>
      <c r="K41" s="54">
        <f>D41/(1+((1-'Tax Rate'!$C$11)*J41))</f>
        <v>-1.1961784300129398E-2</v>
      </c>
    </row>
    <row r="42" spans="1:11" x14ac:dyDescent="0.25">
      <c r="A42" s="26">
        <f t="shared" ref="A42:A44" si="1">A41+1</f>
        <v>3</v>
      </c>
      <c r="B42" s="48" t="s">
        <v>100</v>
      </c>
      <c r="C42" s="60">
        <v>56.63</v>
      </c>
      <c r="D42" s="61">
        <v>7.0000000000000007E-2</v>
      </c>
      <c r="E42" s="48">
        <v>0.27</v>
      </c>
      <c r="F42" s="48">
        <v>0.15</v>
      </c>
      <c r="G42" s="48">
        <v>0.16</v>
      </c>
      <c r="H42" s="48">
        <v>0</v>
      </c>
      <c r="I42" s="48">
        <v>0.12</v>
      </c>
      <c r="J42" s="49">
        <f t="shared" si="0"/>
        <v>0.14000000000000001</v>
      </c>
      <c r="K42" s="54">
        <f>D42/(1+((1-'Tax Rate'!$C$11)*J42))</f>
        <v>6.336190291363375E-2</v>
      </c>
    </row>
    <row r="43" spans="1:11" x14ac:dyDescent="0.25">
      <c r="A43" s="26">
        <f t="shared" si="1"/>
        <v>4</v>
      </c>
      <c r="B43" s="48" t="s">
        <v>101</v>
      </c>
      <c r="C43" s="60">
        <v>131.91999999999999</v>
      </c>
      <c r="D43" s="61">
        <v>1.2</v>
      </c>
      <c r="E43" s="48">
        <v>0.24</v>
      </c>
      <c r="F43" s="48">
        <v>0.25</v>
      </c>
      <c r="G43" s="48">
        <v>0.44</v>
      </c>
      <c r="H43" s="48">
        <v>0.46</v>
      </c>
      <c r="I43" s="48">
        <v>0.43</v>
      </c>
      <c r="J43" s="49">
        <f t="shared" si="0"/>
        <v>0.36399999999999999</v>
      </c>
      <c r="K43" s="54">
        <f>D43/(1+((1-'Tax Rate'!$C$11)*J43))</f>
        <v>0.9431081928688948</v>
      </c>
    </row>
    <row r="44" spans="1:11" x14ac:dyDescent="0.25">
      <c r="A44" s="26">
        <f t="shared" si="1"/>
        <v>5</v>
      </c>
      <c r="B44" s="48" t="s">
        <v>102</v>
      </c>
      <c r="C44" s="60">
        <v>73.099999999999994</v>
      </c>
      <c r="D44" s="61">
        <v>0.36</v>
      </c>
      <c r="E44" s="48">
        <v>0.72</v>
      </c>
      <c r="F44" s="48">
        <v>7.04</v>
      </c>
      <c r="G44" s="48">
        <v>3.8</v>
      </c>
      <c r="H44" s="48">
        <v>2.39</v>
      </c>
      <c r="I44" s="48">
        <v>1.71</v>
      </c>
      <c r="J44" s="49">
        <f t="shared" si="0"/>
        <v>3.1320000000000001</v>
      </c>
      <c r="K44" s="54">
        <f>D44/(1+((1-'Tax Rate'!$C$11)*J44))</f>
        <v>0.10766393005691736</v>
      </c>
    </row>
    <row r="45" spans="1:11" x14ac:dyDescent="0.25">
      <c r="A45" s="26"/>
      <c r="B45" s="62"/>
      <c r="C45" s="63"/>
      <c r="D45" s="62"/>
      <c r="E45" s="62"/>
      <c r="F45" s="62"/>
      <c r="G45" s="62"/>
      <c r="H45" s="62"/>
      <c r="I45" s="62"/>
      <c r="J45" s="64">
        <f>AVERAGE(J40:J44)</f>
        <v>1.516</v>
      </c>
      <c r="K45" s="65">
        <f>SUMPRODUCT(K40:K44,C40:C44)/SUM(C40:C44)</f>
        <v>0.40612034973462291</v>
      </c>
    </row>
    <row r="47" spans="1:11" x14ac:dyDescent="0.25">
      <c r="B47" s="77" t="s">
        <v>93</v>
      </c>
      <c r="C47" s="78"/>
      <c r="K47" s="6"/>
    </row>
    <row r="48" spans="1:11" x14ac:dyDescent="0.25">
      <c r="B48" s="48" t="s">
        <v>90</v>
      </c>
      <c r="C48" s="49">
        <f>F14/F15</f>
        <v>3.2828471411901985</v>
      </c>
    </row>
    <row r="49" spans="2:3" x14ac:dyDescent="0.25">
      <c r="C49" s="6"/>
    </row>
    <row r="51" spans="2:3" ht="18.75" customHeight="1" x14ac:dyDescent="0.25">
      <c r="B51" s="52" t="s">
        <v>92</v>
      </c>
      <c r="C51" s="53">
        <f>K45*(1+(C48*(1-'Tax Rate'!C11)))</f>
        <v>1.4038037934348284</v>
      </c>
    </row>
  </sheetData>
  <mergeCells count="7">
    <mergeCell ref="J38:J39"/>
    <mergeCell ref="K38:K39"/>
    <mergeCell ref="B47:C47"/>
    <mergeCell ref="B38:B39"/>
    <mergeCell ref="C38:C39"/>
    <mergeCell ref="D38:D39"/>
    <mergeCell ref="E38:I38"/>
  </mergeCells>
  <pageMargins left="0.7" right="0.7" top="0.75" bottom="0.75" header="0.3" footer="0.3"/>
  <pageSetup orientation="portrait" r:id="rId1"/>
  <ignoredErrors>
    <ignoredError sqref="J40:J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Historical Analysis</vt:lpstr>
      <vt:lpstr>Projected P&amp;L</vt:lpstr>
      <vt:lpstr>Revenue &amp; Cost</vt:lpstr>
      <vt:lpstr>DCF</vt:lpstr>
      <vt:lpstr>Tax Rate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2022-11-05T08:04:02Z</dcterms:modified>
</cp:coreProperties>
</file>