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In Progress Files\Arun Tomar\- - - IN PROGRESS (2022 - 2023) - - -\VIS(2022-23)-PL374-289-525 - Ms GBKC Global Fashion private limited\"/>
    </mc:Choice>
  </mc:AlternateContent>
  <bookViews>
    <workbookView showVerticalScroll="0" xWindow="0" yWindow="0" windowWidth="24000" windowHeight="9735"/>
  </bookViews>
  <sheets>
    <sheet name="New (Land+Building) Valuation" sheetId="3" r:id="rId1"/>
    <sheet name="Building" sheetId="5" r:id="rId2"/>
    <sheet name="Wall" sheetId="4" r:id="rId3"/>
  </sheets>
  <definedNames>
    <definedName name="_xlnm.Print_Area" localSheetId="2">Wall!#REF!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1" i="3" l="1"/>
  <c r="D24" i="3" s="1"/>
  <c r="E19" i="3"/>
  <c r="C19" i="3"/>
  <c r="E18" i="3"/>
  <c r="C21" i="3"/>
  <c r="D11" i="5" l="1"/>
  <c r="L10" i="5"/>
  <c r="M10" i="5" s="1"/>
  <c r="N10" i="5" s="1"/>
  <c r="O10" i="5" s="1"/>
  <c r="P10" i="5" s="1"/>
  <c r="K10" i="5"/>
  <c r="L9" i="5"/>
  <c r="M9" i="5" s="1"/>
  <c r="N9" i="5" s="1"/>
  <c r="O9" i="5" s="1"/>
  <c r="P9" i="5" s="1"/>
  <c r="K9" i="5"/>
  <c r="L8" i="5"/>
  <c r="M8" i="5" s="1"/>
  <c r="N8" i="5" s="1"/>
  <c r="O8" i="5" s="1"/>
  <c r="P8" i="5" s="1"/>
  <c r="K8" i="5"/>
  <c r="L7" i="5"/>
  <c r="M7" i="5" s="1"/>
  <c r="N7" i="5" s="1"/>
  <c r="O7" i="5" s="1"/>
  <c r="P7" i="5" s="1"/>
  <c r="K7" i="5"/>
  <c r="L6" i="5"/>
  <c r="M6" i="5" s="1"/>
  <c r="N6" i="5" s="1"/>
  <c r="O6" i="5" s="1"/>
  <c r="P6" i="5" s="1"/>
  <c r="K6" i="5"/>
  <c r="L5" i="5"/>
  <c r="M5" i="5" s="1"/>
  <c r="N5" i="5" s="1"/>
  <c r="O5" i="5" s="1"/>
  <c r="P5" i="5" s="1"/>
  <c r="K5" i="5"/>
  <c r="L4" i="5"/>
  <c r="M4" i="5" s="1"/>
  <c r="N4" i="5" s="1"/>
  <c r="O4" i="5" s="1"/>
  <c r="K4" i="5"/>
  <c r="P4" i="5" l="1"/>
  <c r="P11" i="5" s="1"/>
  <c r="O11" i="5"/>
  <c r="H5" i="3" l="1"/>
  <c r="B4" i="4" l="1"/>
  <c r="C3" i="3" l="1"/>
  <c r="E10" i="3"/>
  <c r="I7" i="4" l="1"/>
  <c r="J4" i="4" l="1"/>
  <c r="H4" i="4"/>
  <c r="E4" i="4"/>
  <c r="C16" i="3"/>
  <c r="E16" i="3" s="1"/>
  <c r="E11" i="3"/>
  <c r="E3" i="3"/>
  <c r="C8" i="3" s="1"/>
  <c r="K4" i="4" l="1"/>
  <c r="L4" i="4" s="1"/>
  <c r="N4" i="4" s="1"/>
  <c r="H6" i="3" s="1"/>
  <c r="D8" i="3" s="1"/>
  <c r="E8" i="3" l="1"/>
  <c r="P4" i="4"/>
  <c r="P7" i="4" s="1"/>
</calcChain>
</file>

<file path=xl/sharedStrings.xml><?xml version="1.0" encoding="utf-8"?>
<sst xmlns="http://schemas.openxmlformats.org/spreadsheetml/2006/main" count="90" uniqueCount="74">
  <si>
    <t>Year of Construction</t>
  </si>
  <si>
    <t xml:space="preserve">Year of Valuation </t>
  </si>
  <si>
    <t>Salvage value</t>
  </si>
  <si>
    <t>TOTAL</t>
  </si>
  <si>
    <t>Depreciation Rate</t>
  </si>
  <si>
    <t xml:space="preserve">Depreciation
(INR) </t>
  </si>
  <si>
    <t>Depreciated Value
(INR)</t>
  </si>
  <si>
    <t>Depreciated Replacement Market Value
(INR)</t>
  </si>
  <si>
    <t>Gross Replacement Value
(INR)</t>
  </si>
  <si>
    <t>Discounting Factor</t>
  </si>
  <si>
    <r>
      <t xml:space="preserve">Total Life Consumed 
</t>
    </r>
    <r>
      <rPr>
        <b/>
        <i/>
        <sz val="10"/>
        <rFont val="Calibri"/>
        <family val="2"/>
        <scheme val="minor"/>
      </rPr>
      <t>(in years)</t>
    </r>
  </si>
  <si>
    <r>
      <t xml:space="preserve">Total Economical Life
</t>
    </r>
    <r>
      <rPr>
        <b/>
        <i/>
        <sz val="10"/>
        <rFont val="Calibri"/>
        <family val="2"/>
        <scheme val="minor"/>
      </rPr>
      <t>(in years)</t>
    </r>
  </si>
  <si>
    <t>Unit</t>
  </si>
  <si>
    <t>Rates</t>
  </si>
  <si>
    <t>Value</t>
  </si>
  <si>
    <t xml:space="preserve">Land </t>
  </si>
  <si>
    <t>Building</t>
  </si>
  <si>
    <t>Total</t>
  </si>
  <si>
    <t>FMV</t>
  </si>
  <si>
    <t>Area in
(SqYards)</t>
  </si>
  <si>
    <t>Land Value</t>
  </si>
  <si>
    <t>Circle rate</t>
  </si>
  <si>
    <t>% Diffrence</t>
  </si>
  <si>
    <t>PL-116</t>
  </si>
  <si>
    <t>Plot area
(in sqm)</t>
  </si>
  <si>
    <t>&lt;- Area in Sqmt</t>
  </si>
  <si>
    <t>&lt;- Rate in Per sq. mtr</t>
  </si>
  <si>
    <t>-</t>
  </si>
  <si>
    <t>LAND RATE TO BE CONFIRMED</t>
  </si>
  <si>
    <t>Building Value</t>
  </si>
  <si>
    <t>CIRCLE VALUE</t>
  </si>
  <si>
    <t>Area</t>
  </si>
  <si>
    <t>Calculation</t>
  </si>
  <si>
    <t>&lt;-- building age factor</t>
  </si>
  <si>
    <t>Boundary wall valuation</t>
  </si>
  <si>
    <r>
      <t xml:space="preserve">Plinth Area  Rate 
</t>
    </r>
    <r>
      <rPr>
        <b/>
        <i/>
        <sz val="10"/>
        <rFont val="Calibri"/>
        <family val="2"/>
        <scheme val="minor"/>
      </rPr>
      <t>(in per running ft.)</t>
    </r>
  </si>
  <si>
    <t>Building + Wall</t>
  </si>
  <si>
    <r>
      <t xml:space="preserve">Wall
</t>
    </r>
    <r>
      <rPr>
        <b/>
        <i/>
        <sz val="10"/>
        <rFont val="Calibri"/>
        <family val="2"/>
        <scheme val="minor"/>
      </rPr>
      <t>(in Running ft.)</t>
    </r>
  </si>
  <si>
    <t>DV @ 25% Less</t>
  </si>
  <si>
    <t>Sr.No.</t>
  </si>
  <si>
    <t xml:space="preserve">Floor </t>
  </si>
  <si>
    <t xml:space="preserve">Type of Structure </t>
  </si>
  <si>
    <t xml:space="preserve">Rate Adopted </t>
  </si>
  <si>
    <t xml:space="preserve">Salvage Value </t>
  </si>
  <si>
    <t>Economical Life</t>
  </si>
  <si>
    <t xml:space="preserve">Life used </t>
  </si>
  <si>
    <t>Valuation Date</t>
  </si>
  <si>
    <t>Life consumed</t>
  </si>
  <si>
    <t xml:space="preserve">Depreciation factor </t>
  </si>
  <si>
    <t>Depreciation</t>
  </si>
  <si>
    <t>Rate adopted</t>
  </si>
  <si>
    <t>GCRC</t>
  </si>
  <si>
    <t>F.M.V</t>
  </si>
  <si>
    <t>Physical Obselence</t>
  </si>
  <si>
    <t>Ground floor</t>
  </si>
  <si>
    <t>R.C.C</t>
  </si>
  <si>
    <t xml:space="preserve">First floor </t>
  </si>
  <si>
    <t xml:space="preserve">Second floor </t>
  </si>
  <si>
    <t xml:space="preserve">Tin Shed </t>
  </si>
  <si>
    <t>Guard Room+Panel Room</t>
  </si>
  <si>
    <t>RV @ 15% Less</t>
  </si>
  <si>
    <t>Wall</t>
  </si>
  <si>
    <t>BUILDING VALUATION OF M/S G.B.K.C. GLOBAL PVT. LTD.| SELAQUI, DEHRADUN, UTTARAKHAND</t>
  </si>
  <si>
    <t>Remarks:</t>
  </si>
  <si>
    <t>4. The valuation is done by considering the depreciated replacement cost approach.</t>
  </si>
  <si>
    <r>
      <t xml:space="preserve">2. All the structure that has been taken in the area statemnet belonging to </t>
    </r>
    <r>
      <rPr>
        <b/>
        <i/>
        <sz val="11"/>
        <color theme="1"/>
        <rFont val="Calibri"/>
        <family val="2"/>
        <scheme val="minor"/>
      </rPr>
      <t>M/S G.B.K.C. GLOBAL PVT. LTD.</t>
    </r>
  </si>
  <si>
    <t>1. All the details pertaing to the building area statement such as area, floor, etc has been taken from the site survey only since no building plan was provided to us upon our request..</t>
  </si>
  <si>
    <t>3. Age of the building has been taken as per information gathered at site, since no relevent document was provided to us upon our request.</t>
  </si>
  <si>
    <t>&lt;- Rate in Per Sq.mtr.</t>
  </si>
  <si>
    <t>Builtup Area RCC
(in sq.mtr.) @Rs 12,000</t>
  </si>
  <si>
    <t>Builtup Area Shed
(in sq.mtr.) @ Rs 10,000</t>
  </si>
  <si>
    <t>12,000 &amp; 10,000</t>
  </si>
  <si>
    <t>&lt;-- Final Building Value</t>
  </si>
  <si>
    <t>WITH AGE FACTOR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</si>
</sst>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name val="Calibri"/>
      <family val="2"/>
      <scheme val="minor"/>
    </font>
    <font>
      <b/>
      <i/>
      <sz val="10"/>
      <name val="Calibri"/>
      <family val="2"/>
      <scheme val="minor"/>
    </font>
    <font>
      <sz val="11"/>
      <name val="Calibri"/>
      <family val="2"/>
      <scheme val="minor"/>
    </font>
    <font>
      <b/>
      <sz val="16"/>
      <color theme="0"/>
      <name val="Calibri"/>
      <family val="2"/>
      <scheme val="minor"/>
    </font>
    <font>
      <sz val="16"/>
      <color theme="1"/>
      <name val="Calibri"/>
      <family val="2"/>
      <scheme val="minor"/>
    </font>
    <font>
      <b/>
      <sz val="11"/>
      <color theme="0"/>
      <name val="Calibri"/>
      <family val="2"/>
      <scheme val="minor"/>
    </font>
    <font>
      <b/>
      <sz val="14"/>
      <color theme="0"/>
      <name val="Calibri"/>
      <family val="2"/>
      <scheme val="minor"/>
    </font>
    <font>
      <sz val="9"/>
      <color theme="1"/>
      <name val="Calibri"/>
      <family val="2"/>
      <scheme val="minor"/>
    </font>
    <font>
      <sz val="18"/>
      <name val="Calibri"/>
      <family val="2"/>
      <scheme val="minor"/>
    </font>
    <font>
      <b/>
      <sz val="18"/>
      <color theme="0"/>
      <name val="Calibri"/>
      <family val="2"/>
      <scheme val="minor"/>
    </font>
    <font>
      <b/>
      <sz val="16"/>
      <color theme="1"/>
      <name val="Calibri"/>
      <family val="2"/>
      <scheme val="minor"/>
    </font>
    <font>
      <b/>
      <i/>
      <sz val="11"/>
      <color theme="1"/>
      <name val="Calibri"/>
      <family val="2"/>
      <scheme val="minor"/>
    </font>
    <font>
      <i/>
      <sz val="11"/>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FFFF00"/>
        <bgColor indexed="64"/>
      </patternFill>
    </fill>
    <fill>
      <patternFill patternType="solid">
        <fgColor rgb="FF0070C0"/>
        <bgColor indexed="64"/>
      </patternFill>
    </fill>
    <fill>
      <patternFill patternType="solid">
        <fgColor rgb="FF00B0F0"/>
        <bgColor indexed="64"/>
      </patternFill>
    </fill>
    <fill>
      <patternFill patternType="solid">
        <fgColor rgb="FF002060"/>
        <bgColor indexed="64"/>
      </patternFill>
    </fill>
    <fill>
      <patternFill patternType="solid">
        <fgColor theme="4"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44" fontId="0" fillId="0" borderId="0" xfId="0" applyNumberFormat="1"/>
    <xf numFmtId="166" fontId="0" fillId="0" borderId="1" xfId="1" applyNumberFormat="1" applyFont="1" applyBorder="1" applyAlignment="1">
      <alignment horizontal="center" vertical="center"/>
    </xf>
    <xf numFmtId="166" fontId="0" fillId="0" borderId="0" xfId="0" applyNumberFormat="1"/>
    <xf numFmtId="0" fontId="0" fillId="0" borderId="0" xfId="0" applyAlignment="1">
      <alignment wrapText="1"/>
    </xf>
    <xf numFmtId="0" fontId="8" fillId="0" borderId="1" xfId="0" applyFont="1" applyBorder="1" applyAlignment="1">
      <alignment horizontal="center" vertical="center"/>
    </xf>
    <xf numFmtId="164" fontId="8" fillId="0" borderId="1" xfId="3" applyNumberFormat="1" applyFont="1" applyBorder="1" applyAlignment="1">
      <alignment horizontal="center" vertical="center"/>
    </xf>
    <xf numFmtId="164" fontId="8" fillId="0" borderId="1" xfId="0" applyNumberFormat="1" applyFont="1" applyBorder="1"/>
    <xf numFmtId="164" fontId="8" fillId="0" borderId="1" xfId="0" applyNumberFormat="1" applyFont="1" applyBorder="1" applyAlignment="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164" fontId="8" fillId="0" borderId="1" xfId="3" applyNumberFormat="1" applyFont="1" applyBorder="1"/>
    <xf numFmtId="0" fontId="0" fillId="0" borderId="0" xfId="0" applyAlignment="1">
      <alignment vertical="center"/>
    </xf>
    <xf numFmtId="0" fontId="9" fillId="6" borderId="1" xfId="0" applyFont="1" applyFill="1" applyBorder="1" applyAlignment="1">
      <alignment horizontal="center" vertical="center"/>
    </xf>
    <xf numFmtId="2" fontId="0" fillId="0" borderId="1" xfId="0" applyNumberFormat="1" applyBorder="1" applyAlignment="1">
      <alignment horizontal="center" vertical="center"/>
    </xf>
    <xf numFmtId="0" fontId="6" fillId="4" borderId="1" xfId="0" applyFont="1" applyFill="1" applyBorder="1" applyAlignment="1">
      <alignment horizontal="center" vertical="center"/>
    </xf>
    <xf numFmtId="164" fontId="0" fillId="0" borderId="1" xfId="3" applyNumberFormat="1" applyFont="1" applyBorder="1" applyAlignment="1">
      <alignment horizontal="center" vertical="center"/>
    </xf>
    <xf numFmtId="0" fontId="8" fillId="0" borderId="0" xfId="0" applyFont="1" applyBorder="1" applyAlignment="1">
      <alignment horizontal="center" vertical="center"/>
    </xf>
    <xf numFmtId="164" fontId="8" fillId="0" borderId="0" xfId="0" applyNumberFormat="1" applyFont="1" applyBorder="1" applyAlignment="1">
      <alignment horizontal="center" vertical="center"/>
    </xf>
    <xf numFmtId="43" fontId="0" fillId="0" borderId="0" xfId="0" applyNumberFormat="1"/>
    <xf numFmtId="164" fontId="0" fillId="0" borderId="4" xfId="3" applyNumberFormat="1" applyFont="1" applyBorder="1" applyAlignment="1">
      <alignment horizontal="center" vertical="center"/>
    </xf>
    <xf numFmtId="166" fontId="11" fillId="0" borderId="1" xfId="1" applyNumberFormat="1" applyFont="1" applyBorder="1" applyAlignment="1">
      <alignment horizontal="center" vertical="center"/>
    </xf>
    <xf numFmtId="0" fontId="0" fillId="0" borderId="0" xfId="0"/>
    <xf numFmtId="9" fontId="0" fillId="0" borderId="1" xfId="0" applyNumberFormat="1" applyBorder="1" applyAlignment="1">
      <alignment horizontal="center" vertical="center"/>
    </xf>
    <xf numFmtId="165" fontId="0" fillId="0" borderId="1" xfId="0" applyNumberForma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0" fontId="4" fillId="2" borderId="1" xfId="0" applyFont="1" applyFill="1" applyBorder="1" applyAlignment="1">
      <alignment horizontal="center" vertical="center" wrapText="1"/>
    </xf>
    <xf numFmtId="0" fontId="0" fillId="0" borderId="0" xfId="0" applyAlignment="1">
      <alignment horizontal="center"/>
    </xf>
    <xf numFmtId="166" fontId="2" fillId="0" borderId="1" xfId="0" applyNumberFormat="1" applyFont="1" applyBorder="1" applyAlignment="1">
      <alignment horizontal="center"/>
    </xf>
    <xf numFmtId="0" fontId="10" fillId="7" borderId="1" xfId="0" applyFont="1" applyFill="1" applyBorder="1" applyAlignment="1">
      <alignment horizontal="center" vertical="center" wrapText="1"/>
    </xf>
    <xf numFmtId="166" fontId="0" fillId="0" borderId="0" xfId="0" applyNumberFormat="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xf numFmtId="0" fontId="14" fillId="0" borderId="1" xfId="0" applyFont="1" applyBorder="1" applyAlignment="1">
      <alignment horizontal="center" vertical="center"/>
    </xf>
    <xf numFmtId="164" fontId="14" fillId="0" borderId="1" xfId="0" applyNumberFormat="1" applyFont="1" applyBorder="1" applyAlignment="1">
      <alignment horizontal="center" vertical="center"/>
    </xf>
    <xf numFmtId="0" fontId="0" fillId="0" borderId="1" xfId="0" applyBorder="1" applyAlignment="1">
      <alignment horizontal="center"/>
    </xf>
    <xf numFmtId="43" fontId="0" fillId="0" borderId="1" xfId="3" applyFont="1" applyBorder="1" applyAlignment="1">
      <alignment horizontal="center"/>
    </xf>
    <xf numFmtId="9" fontId="0" fillId="0" borderId="1" xfId="0" applyNumberFormat="1" applyBorder="1" applyAlignment="1">
      <alignment horizontal="center"/>
    </xf>
    <xf numFmtId="0" fontId="9" fillId="8" borderId="1" xfId="0" applyFont="1" applyFill="1" applyBorder="1" applyAlignment="1">
      <alignment horizontal="center"/>
    </xf>
    <xf numFmtId="0" fontId="2" fillId="0" borderId="1" xfId="0" applyFont="1" applyBorder="1" applyAlignment="1">
      <alignment horizontal="center"/>
    </xf>
    <xf numFmtId="43" fontId="2" fillId="0" borderId="1" xfId="3" applyFont="1" applyBorder="1" applyAlignment="1">
      <alignment horizontal="center"/>
    </xf>
    <xf numFmtId="43" fontId="0" fillId="0" borderId="1" xfId="0" applyNumberFormat="1" applyBorder="1" applyAlignment="1">
      <alignment horizontal="center"/>
    </xf>
    <xf numFmtId="0" fontId="0" fillId="0" borderId="1" xfId="0" applyBorder="1" applyAlignment="1">
      <alignment horizontal="center" wrapText="1"/>
    </xf>
    <xf numFmtId="43" fontId="0" fillId="0" borderId="1" xfId="3" applyFont="1" applyBorder="1" applyAlignment="1">
      <alignment horizontal="center" wrapText="1"/>
    </xf>
    <xf numFmtId="43" fontId="2" fillId="0" borderId="1" xfId="0" applyNumberFormat="1" applyFont="1" applyBorder="1" applyAlignment="1">
      <alignment horizontal="center"/>
    </xf>
    <xf numFmtId="0" fontId="7" fillId="8" borderId="1" xfId="0" applyFont="1" applyFill="1" applyBorder="1"/>
    <xf numFmtId="164" fontId="0" fillId="0" borderId="0" xfId="0" applyNumberFormat="1"/>
    <xf numFmtId="164" fontId="14" fillId="0" borderId="1" xfId="0" applyNumberFormat="1" applyFont="1" applyBorder="1"/>
    <xf numFmtId="0" fontId="0" fillId="0" borderId="1" xfId="0" applyBorder="1" applyAlignment="1">
      <alignment horizontal="center" vertical="center"/>
    </xf>
    <xf numFmtId="10" fontId="0" fillId="0" borderId="1" xfId="0" applyNumberFormat="1" applyBorder="1" applyAlignment="1">
      <alignment horizontal="center"/>
    </xf>
    <xf numFmtId="2" fontId="8"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64" fontId="9" fillId="6" borderId="1" xfId="3" applyNumberFormat="1" applyFont="1" applyFill="1" applyBorder="1" applyAlignment="1">
      <alignment horizontal="center" vertical="center"/>
    </xf>
    <xf numFmtId="0" fontId="13" fillId="6" borderId="1" xfId="0" applyFont="1" applyFill="1" applyBorder="1" applyAlignment="1">
      <alignment horizontal="center" vertical="center"/>
    </xf>
    <xf numFmtId="10" fontId="12" fillId="0" borderId="1" xfId="0" applyNumberFormat="1" applyFont="1" applyFill="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6" borderId="1" xfId="0" applyFont="1" applyFill="1" applyBorder="1" applyAlignment="1">
      <alignment horizontal="center" vertical="center"/>
    </xf>
    <xf numFmtId="0" fontId="0" fillId="0" borderId="0" xfId="0" applyFill="1" applyBorder="1" applyAlignment="1">
      <alignment horizontal="center" vertical="center"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0" fillId="0" borderId="0" xfId="0" applyBorder="1" applyAlignment="1">
      <alignment horizontal="center" vertical="center"/>
    </xf>
    <xf numFmtId="43" fontId="0" fillId="0" borderId="1" xfId="0" applyNumberFormat="1" applyBorder="1" applyAlignment="1">
      <alignment horizontal="center" vertical="center"/>
    </xf>
    <xf numFmtId="0" fontId="2" fillId="0" borderId="1" xfId="0" applyFont="1" applyFill="1" applyBorder="1" applyAlignment="1">
      <alignment horizontal="center" vertical="center"/>
    </xf>
    <xf numFmtId="164" fontId="2" fillId="0" borderId="0" xfId="0" applyNumberFormat="1" applyFont="1" applyAlignment="1">
      <alignment horizontal="center" vertical="center"/>
    </xf>
    <xf numFmtId="43" fontId="2" fillId="0" borderId="0" xfId="0" applyNumberFormat="1" applyFont="1" applyAlignment="1">
      <alignment horizontal="center" vertical="center"/>
    </xf>
  </cellXfs>
  <cellStyles count="8">
    <cellStyle name="Comma" xfId="3" builtinId="3"/>
    <cellStyle name="Comma 2" xfId="5"/>
    <cellStyle name="Comma 3" xfId="7"/>
    <cellStyle name="Currency" xfId="1" builtinId="4"/>
    <cellStyle name="Currency 2" xfId="4"/>
    <cellStyle name="Currency 3" xfId="6"/>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H26"/>
  <sheetViews>
    <sheetView tabSelected="1" topLeftCell="A10" zoomScale="130" zoomScaleNormal="130" workbookViewId="0">
      <selection activeCell="E17" sqref="E17"/>
    </sheetView>
  </sheetViews>
  <sheetFormatPr defaultRowHeight="15" x14ac:dyDescent="0.25"/>
  <cols>
    <col min="1" max="1" width="9.140625" style="22"/>
    <col min="2" max="2" width="22.7109375" style="22" customWidth="1"/>
    <col min="3" max="3" width="19.5703125" style="22" bestFit="1" customWidth="1"/>
    <col min="4" max="4" width="21.140625" style="22" bestFit="1" customWidth="1"/>
    <col min="5" max="5" width="19.28515625" style="22" bestFit="1" customWidth="1"/>
    <col min="6" max="6" width="32" style="22" bestFit="1" customWidth="1"/>
    <col min="7" max="7" width="24" style="22" customWidth="1"/>
    <col min="8" max="8" width="17.7109375" style="22" bestFit="1" customWidth="1"/>
    <col min="9" max="9" width="19.28515625" style="22" bestFit="1" customWidth="1"/>
    <col min="10" max="10" width="19.140625" style="22" bestFit="1" customWidth="1"/>
    <col min="11" max="11" width="23.140625" style="22" bestFit="1" customWidth="1"/>
    <col min="12" max="12" width="12.28515625" style="22" bestFit="1" customWidth="1"/>
    <col min="13" max="13" width="10.42578125" style="22" bestFit="1" customWidth="1"/>
    <col min="14" max="16384" width="9.140625" style="22"/>
  </cols>
  <sheetData>
    <row r="2" spans="2:8" ht="42" x14ac:dyDescent="0.25">
      <c r="C2" s="9" t="s">
        <v>19</v>
      </c>
      <c r="D2" s="10" t="s">
        <v>13</v>
      </c>
      <c r="E2" s="10" t="s">
        <v>14</v>
      </c>
    </row>
    <row r="3" spans="2:8" ht="21" x14ac:dyDescent="0.25">
      <c r="C3" s="52">
        <f>B5*1.196</f>
        <v>956.8</v>
      </c>
      <c r="D3" s="6">
        <v>9000</v>
      </c>
      <c r="E3" s="6">
        <f>C3*D3</f>
        <v>8611200</v>
      </c>
    </row>
    <row r="4" spans="2:8" ht="36.75" customHeight="1" x14ac:dyDescent="0.25">
      <c r="B4" s="32" t="s">
        <v>24</v>
      </c>
    </row>
    <row r="5" spans="2:8" ht="21" x14ac:dyDescent="0.35">
      <c r="B5" s="12">
        <v>800</v>
      </c>
      <c r="G5" s="47" t="s">
        <v>16</v>
      </c>
      <c r="H5" s="49">
        <f>Building!P11</f>
        <v>14507094.6</v>
      </c>
    </row>
    <row r="6" spans="2:8" ht="21" x14ac:dyDescent="0.35">
      <c r="G6" s="47" t="s">
        <v>61</v>
      </c>
      <c r="H6" s="49">
        <f>Wall!N4</f>
        <v>408343.88571428572</v>
      </c>
    </row>
    <row r="7" spans="2:8" ht="21" x14ac:dyDescent="0.25">
      <c r="C7" s="9" t="s">
        <v>15</v>
      </c>
      <c r="D7" s="10" t="s">
        <v>36</v>
      </c>
      <c r="E7" s="10" t="s">
        <v>17</v>
      </c>
    </row>
    <row r="8" spans="2:8" ht="21" x14ac:dyDescent="0.35">
      <c r="C8" s="7">
        <f>E3</f>
        <v>8611200</v>
      </c>
      <c r="D8" s="11">
        <f>H5+H6</f>
        <v>14915438.485714285</v>
      </c>
      <c r="E8" s="7">
        <f>C8+D8</f>
        <v>23526638.485714287</v>
      </c>
    </row>
    <row r="9" spans="2:8" ht="21" x14ac:dyDescent="0.25">
      <c r="C9" s="58" t="s">
        <v>23</v>
      </c>
      <c r="D9" s="5" t="s">
        <v>18</v>
      </c>
      <c r="E9" s="8">
        <v>23500000</v>
      </c>
      <c r="F9" s="12"/>
      <c r="G9" s="48"/>
    </row>
    <row r="10" spans="2:8" ht="21" x14ac:dyDescent="0.25">
      <c r="C10" s="59"/>
      <c r="D10" s="35" t="s">
        <v>60</v>
      </c>
      <c r="E10" s="36">
        <f>E9*0.85</f>
        <v>19975000</v>
      </c>
      <c r="F10" s="12"/>
    </row>
    <row r="11" spans="2:8" ht="21" x14ac:dyDescent="0.25">
      <c r="C11" s="60"/>
      <c r="D11" s="5" t="s">
        <v>38</v>
      </c>
      <c r="E11" s="8">
        <f>E9*0.75</f>
        <v>17625000</v>
      </c>
      <c r="F11" s="12"/>
    </row>
    <row r="12" spans="2:8" ht="21" x14ac:dyDescent="0.25">
      <c r="C12" s="17"/>
      <c r="D12" s="17"/>
      <c r="E12" s="18"/>
      <c r="F12" s="12"/>
    </row>
    <row r="13" spans="2:8" ht="21" x14ac:dyDescent="0.25">
      <c r="C13" s="61" t="s">
        <v>30</v>
      </c>
      <c r="D13" s="61"/>
      <c r="E13" s="61"/>
      <c r="F13" s="12"/>
    </row>
    <row r="14" spans="2:8" x14ac:dyDescent="0.25">
      <c r="C14" s="13" t="s">
        <v>31</v>
      </c>
      <c r="D14" s="13" t="s">
        <v>12</v>
      </c>
      <c r="E14" s="13" t="s">
        <v>32</v>
      </c>
      <c r="G14" s="62"/>
    </row>
    <row r="15" spans="2:8" x14ac:dyDescent="0.25">
      <c r="B15" s="13" t="s">
        <v>21</v>
      </c>
      <c r="C15" s="33">
        <v>5500</v>
      </c>
      <c r="D15" s="33" t="s">
        <v>68</v>
      </c>
      <c r="E15" s="16">
        <v>5500</v>
      </c>
      <c r="F15" s="33" t="s">
        <v>26</v>
      </c>
      <c r="G15" s="62"/>
    </row>
    <row r="16" spans="2:8" x14ac:dyDescent="0.25">
      <c r="B16" s="33" t="s">
        <v>20</v>
      </c>
      <c r="C16" s="33">
        <f>B5</f>
        <v>800</v>
      </c>
      <c r="D16" s="33" t="s">
        <v>25</v>
      </c>
      <c r="E16" s="16">
        <f>C16*E15</f>
        <v>4400000</v>
      </c>
      <c r="F16" s="15" t="s">
        <v>28</v>
      </c>
      <c r="G16" s="62"/>
    </row>
    <row r="17" spans="2:7" x14ac:dyDescent="0.25">
      <c r="B17" s="13" t="s">
        <v>21</v>
      </c>
      <c r="C17" s="33" t="s">
        <v>27</v>
      </c>
      <c r="D17" s="33" t="s">
        <v>68</v>
      </c>
      <c r="E17" s="16" t="s">
        <v>71</v>
      </c>
      <c r="F17" s="33" t="s">
        <v>26</v>
      </c>
      <c r="G17" s="62"/>
    </row>
    <row r="18" spans="2:7" x14ac:dyDescent="0.25">
      <c r="B18" s="33" t="s">
        <v>29</v>
      </c>
      <c r="C18" s="14" t="s">
        <v>27</v>
      </c>
      <c r="D18" s="33" t="s">
        <v>25</v>
      </c>
      <c r="E18" s="34">
        <f>(C19*12000)+(C21*10000)</f>
        <v>18371237.45819398</v>
      </c>
      <c r="F18" s="22" t="s">
        <v>72</v>
      </c>
      <c r="G18" s="62"/>
    </row>
    <row r="19" spans="2:7" x14ac:dyDescent="0.25">
      <c r="B19" s="53" t="s">
        <v>69</v>
      </c>
      <c r="C19" s="77">
        <f>SUM(Building!D4:D7,Building!D10)/10.764</f>
        <v>1112.876254180602</v>
      </c>
      <c r="D19" s="78" t="s">
        <v>3</v>
      </c>
      <c r="E19" s="55">
        <f>E16+E18</f>
        <v>22771237.45819398</v>
      </c>
      <c r="F19" s="20"/>
      <c r="G19" s="62"/>
    </row>
    <row r="20" spans="2:7" x14ac:dyDescent="0.25">
      <c r="B20" s="54"/>
      <c r="C20" s="54"/>
      <c r="D20" s="78"/>
      <c r="E20" s="55"/>
      <c r="G20" s="62"/>
    </row>
    <row r="21" spans="2:7" x14ac:dyDescent="0.25">
      <c r="B21" s="53" t="s">
        <v>70</v>
      </c>
      <c r="C21" s="77">
        <f>SUM(Building!D8:D9)/10.764</f>
        <v>501.67224080267562</v>
      </c>
      <c r="E21" s="79">
        <f>E19*F21</f>
        <v>20038688.963210702</v>
      </c>
      <c r="F21" s="22">
        <v>0.88</v>
      </c>
      <c r="G21" s="22" t="s">
        <v>33</v>
      </c>
    </row>
    <row r="22" spans="2:7" x14ac:dyDescent="0.25">
      <c r="B22" s="54"/>
      <c r="C22" s="54"/>
      <c r="E22" s="80" t="s">
        <v>73</v>
      </c>
    </row>
    <row r="23" spans="2:7" x14ac:dyDescent="0.25">
      <c r="B23" s="76"/>
      <c r="C23" s="50"/>
      <c r="E23" s="19"/>
    </row>
    <row r="24" spans="2:7" ht="18.75" customHeight="1" x14ac:dyDescent="0.25">
      <c r="C24" s="56" t="s">
        <v>22</v>
      </c>
      <c r="D24" s="57">
        <f>((E9-E21)/E9)</f>
        <v>0.1472898313527361</v>
      </c>
    </row>
    <row r="25" spans="2:7" x14ac:dyDescent="0.25">
      <c r="C25" s="56"/>
      <c r="D25" s="57"/>
    </row>
    <row r="26" spans="2:7" x14ac:dyDescent="0.25">
      <c r="C26" s="56"/>
      <c r="D26" s="57"/>
    </row>
  </sheetData>
  <mergeCells count="11">
    <mergeCell ref="C9:C11"/>
    <mergeCell ref="C13:E13"/>
    <mergeCell ref="G14:G20"/>
    <mergeCell ref="B21:B22"/>
    <mergeCell ref="C21:C22"/>
    <mergeCell ref="B19:B20"/>
    <mergeCell ref="C19:C20"/>
    <mergeCell ref="D19:D20"/>
    <mergeCell ref="E19:E20"/>
    <mergeCell ref="C24:C26"/>
    <mergeCell ref="D24: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W20"/>
  <sheetViews>
    <sheetView workbookViewId="0">
      <selection activeCell="B2" sqref="B2:Q16"/>
    </sheetView>
  </sheetViews>
  <sheetFormatPr defaultRowHeight="15" x14ac:dyDescent="0.25"/>
  <cols>
    <col min="2" max="2" width="6.42578125" bestFit="1" customWidth="1"/>
    <col min="3" max="3" width="12.5703125" bestFit="1" customWidth="1"/>
    <col min="4" max="4" width="10" bestFit="1" customWidth="1"/>
    <col min="5" max="5" width="16.7109375" bestFit="1" customWidth="1"/>
    <col min="6" max="6" width="13.7109375" bestFit="1" customWidth="1"/>
    <col min="7" max="7" width="13.85546875" hidden="1" customWidth="1"/>
    <col min="8" max="8" width="14.85546875" bestFit="1" customWidth="1"/>
    <col min="9" max="9" width="9.42578125" bestFit="1" customWidth="1"/>
    <col min="10" max="10" width="14.28515625" bestFit="1" customWidth="1"/>
    <col min="11" max="11" width="14" bestFit="1" customWidth="1"/>
    <col min="12" max="12" width="18.7109375" hidden="1" customWidth="1"/>
    <col min="13" max="13" width="12.42578125" hidden="1" customWidth="1"/>
    <col min="14" max="14" width="12.85546875" bestFit="1" customWidth="1"/>
    <col min="15" max="15" width="14.28515625" hidden="1" customWidth="1"/>
    <col min="16" max="16" width="14.28515625" bestFit="1" customWidth="1"/>
    <col min="17" max="17" width="18.28515625" hidden="1" customWidth="1"/>
  </cols>
  <sheetData>
    <row r="1" spans="2:23" s="22" customFormat="1" x14ac:dyDescent="0.25"/>
    <row r="2" spans="2:23" ht="15.75" x14ac:dyDescent="0.25">
      <c r="B2" s="72" t="s">
        <v>62</v>
      </c>
      <c r="C2" s="73"/>
      <c r="D2" s="73"/>
      <c r="E2" s="73"/>
      <c r="F2" s="73"/>
      <c r="G2" s="73"/>
      <c r="H2" s="73"/>
      <c r="I2" s="73"/>
      <c r="J2" s="73"/>
      <c r="K2" s="73"/>
      <c r="L2" s="73"/>
      <c r="M2" s="73"/>
      <c r="N2" s="73"/>
      <c r="O2" s="73"/>
      <c r="P2" s="73"/>
      <c r="Q2" s="73"/>
      <c r="R2" s="22"/>
      <c r="S2" s="22"/>
      <c r="T2" s="22"/>
    </row>
    <row r="3" spans="2:23" x14ac:dyDescent="0.25">
      <c r="B3" s="40" t="s">
        <v>39</v>
      </c>
      <c r="C3" s="40" t="s">
        <v>40</v>
      </c>
      <c r="D3" s="40" t="s">
        <v>31</v>
      </c>
      <c r="E3" s="40" t="s">
        <v>41</v>
      </c>
      <c r="F3" s="40" t="s">
        <v>42</v>
      </c>
      <c r="G3" s="40" t="s">
        <v>43</v>
      </c>
      <c r="H3" s="40" t="s">
        <v>44</v>
      </c>
      <c r="I3" s="40" t="s">
        <v>45</v>
      </c>
      <c r="J3" s="40" t="s">
        <v>46</v>
      </c>
      <c r="K3" s="40" t="s">
        <v>47</v>
      </c>
      <c r="L3" s="40" t="s">
        <v>48</v>
      </c>
      <c r="M3" s="40" t="s">
        <v>49</v>
      </c>
      <c r="N3" s="40" t="s">
        <v>50</v>
      </c>
      <c r="O3" s="40" t="s">
        <v>51</v>
      </c>
      <c r="P3" s="40" t="s">
        <v>52</v>
      </c>
      <c r="Q3" s="40" t="s">
        <v>53</v>
      </c>
    </row>
    <row r="4" spans="2:23" x14ac:dyDescent="0.25">
      <c r="B4" s="37">
        <v>1</v>
      </c>
      <c r="C4" s="37" t="s">
        <v>54</v>
      </c>
      <c r="D4" s="38">
        <v>5505</v>
      </c>
      <c r="E4" s="37" t="s">
        <v>55</v>
      </c>
      <c r="F4" s="37">
        <v>1400</v>
      </c>
      <c r="G4" s="39">
        <v>0.1</v>
      </c>
      <c r="H4" s="37">
        <v>60</v>
      </c>
      <c r="I4" s="37">
        <v>2010</v>
      </c>
      <c r="J4" s="37">
        <v>2022</v>
      </c>
      <c r="K4" s="37">
        <f>J4-I4</f>
        <v>12</v>
      </c>
      <c r="L4" s="37">
        <f>(1-G4)/H4</f>
        <v>1.5000000000000001E-2</v>
      </c>
      <c r="M4" s="37">
        <f>L4*K4*F4</f>
        <v>252.00000000000003</v>
      </c>
      <c r="N4" s="37">
        <f>F4-M4</f>
        <v>1148</v>
      </c>
      <c r="O4" s="43">
        <f>N4*D4</f>
        <v>6319740</v>
      </c>
      <c r="P4" s="38">
        <f>O4*(1-Q4)</f>
        <v>5687766</v>
      </c>
      <c r="Q4" s="51">
        <v>0.1</v>
      </c>
    </row>
    <row r="5" spans="2:23" x14ac:dyDescent="0.25">
      <c r="B5" s="37">
        <v>2</v>
      </c>
      <c r="C5" s="37" t="s">
        <v>54</v>
      </c>
      <c r="D5" s="38">
        <v>450</v>
      </c>
      <c r="E5" s="37" t="s">
        <v>55</v>
      </c>
      <c r="F5" s="37">
        <v>1200</v>
      </c>
      <c r="G5" s="39">
        <v>0.1</v>
      </c>
      <c r="H5" s="37">
        <v>60</v>
      </c>
      <c r="I5" s="37">
        <v>2010</v>
      </c>
      <c r="J5" s="37">
        <v>2022</v>
      </c>
      <c r="K5" s="37">
        <f t="shared" ref="K5:K10" si="0">J5-I5</f>
        <v>12</v>
      </c>
      <c r="L5" s="37">
        <f t="shared" ref="L5:L10" si="1">(1-G5)/H5</f>
        <v>1.5000000000000001E-2</v>
      </c>
      <c r="M5" s="37">
        <f t="shared" ref="M5:M10" si="2">L5*K5*F5</f>
        <v>216.00000000000003</v>
      </c>
      <c r="N5" s="37">
        <f t="shared" ref="N5:N10" si="3">F5-M5</f>
        <v>984</v>
      </c>
      <c r="O5" s="43">
        <f t="shared" ref="O5:O10" si="4">N5*D5</f>
        <v>442800</v>
      </c>
      <c r="P5" s="38">
        <f t="shared" ref="P5:P10" si="5">O5*(1-Q5)</f>
        <v>387450</v>
      </c>
      <c r="Q5" s="51">
        <v>0.125</v>
      </c>
    </row>
    <row r="6" spans="2:23" x14ac:dyDescent="0.25">
      <c r="B6" s="37">
        <v>3</v>
      </c>
      <c r="C6" s="37" t="s">
        <v>56</v>
      </c>
      <c r="D6" s="38">
        <v>4950</v>
      </c>
      <c r="E6" s="37" t="s">
        <v>55</v>
      </c>
      <c r="F6" s="37">
        <v>1300</v>
      </c>
      <c r="G6" s="39">
        <v>0.1</v>
      </c>
      <c r="H6" s="37">
        <v>60</v>
      </c>
      <c r="I6" s="37">
        <v>2010</v>
      </c>
      <c r="J6" s="37">
        <v>2022</v>
      </c>
      <c r="K6" s="37">
        <f t="shared" si="0"/>
        <v>12</v>
      </c>
      <c r="L6" s="37">
        <f t="shared" si="1"/>
        <v>1.5000000000000001E-2</v>
      </c>
      <c r="M6" s="37">
        <f t="shared" si="2"/>
        <v>234.00000000000003</v>
      </c>
      <c r="N6" s="37">
        <f t="shared" si="3"/>
        <v>1066</v>
      </c>
      <c r="O6" s="43">
        <f t="shared" si="4"/>
        <v>5276700</v>
      </c>
      <c r="P6" s="38">
        <f t="shared" si="5"/>
        <v>4749030</v>
      </c>
      <c r="Q6" s="51">
        <v>0.1</v>
      </c>
    </row>
    <row r="7" spans="2:23" x14ac:dyDescent="0.25">
      <c r="B7" s="37">
        <v>4</v>
      </c>
      <c r="C7" s="37" t="s">
        <v>56</v>
      </c>
      <c r="D7" s="38">
        <v>450</v>
      </c>
      <c r="E7" s="37" t="s">
        <v>55</v>
      </c>
      <c r="F7" s="37">
        <v>1200</v>
      </c>
      <c r="G7" s="39">
        <v>0.1</v>
      </c>
      <c r="H7" s="37">
        <v>60</v>
      </c>
      <c r="I7" s="37">
        <v>2010</v>
      </c>
      <c r="J7" s="37">
        <v>2022</v>
      </c>
      <c r="K7" s="37">
        <f t="shared" si="0"/>
        <v>12</v>
      </c>
      <c r="L7" s="37">
        <f t="shared" si="1"/>
        <v>1.5000000000000001E-2</v>
      </c>
      <c r="M7" s="37">
        <f t="shared" si="2"/>
        <v>216.00000000000003</v>
      </c>
      <c r="N7" s="37">
        <f t="shared" si="3"/>
        <v>984</v>
      </c>
      <c r="O7" s="43">
        <f t="shared" si="4"/>
        <v>442800</v>
      </c>
      <c r="P7" s="38">
        <f t="shared" si="5"/>
        <v>387450</v>
      </c>
      <c r="Q7" s="51">
        <v>0.125</v>
      </c>
    </row>
    <row r="8" spans="2:23" x14ac:dyDescent="0.25">
      <c r="B8" s="37">
        <v>5</v>
      </c>
      <c r="C8" s="37" t="s">
        <v>57</v>
      </c>
      <c r="D8" s="38">
        <v>4950</v>
      </c>
      <c r="E8" s="37" t="s">
        <v>58</v>
      </c>
      <c r="F8" s="37">
        <v>800</v>
      </c>
      <c r="G8" s="39">
        <v>0.05</v>
      </c>
      <c r="H8" s="37">
        <v>40</v>
      </c>
      <c r="I8" s="37">
        <v>2010</v>
      </c>
      <c r="J8" s="37">
        <v>2022</v>
      </c>
      <c r="K8" s="37">
        <f t="shared" si="0"/>
        <v>12</v>
      </c>
      <c r="L8" s="37">
        <f t="shared" si="1"/>
        <v>2.375E-2</v>
      </c>
      <c r="M8" s="37">
        <f t="shared" si="2"/>
        <v>228.00000000000003</v>
      </c>
      <c r="N8" s="37">
        <f t="shared" si="3"/>
        <v>572</v>
      </c>
      <c r="O8" s="43">
        <f t="shared" si="4"/>
        <v>2831400</v>
      </c>
      <c r="P8" s="38">
        <f t="shared" si="5"/>
        <v>2548260</v>
      </c>
      <c r="Q8" s="51">
        <v>0.1</v>
      </c>
    </row>
    <row r="9" spans="2:23" x14ac:dyDescent="0.25">
      <c r="B9" s="37">
        <v>6</v>
      </c>
      <c r="C9" s="37" t="s">
        <v>57</v>
      </c>
      <c r="D9" s="38">
        <v>450</v>
      </c>
      <c r="E9" s="37" t="s">
        <v>58</v>
      </c>
      <c r="F9" s="37">
        <v>800</v>
      </c>
      <c r="G9" s="39">
        <v>0.05</v>
      </c>
      <c r="H9" s="37">
        <v>40</v>
      </c>
      <c r="I9" s="37">
        <v>2010</v>
      </c>
      <c r="J9" s="37">
        <v>2022</v>
      </c>
      <c r="K9" s="37">
        <f t="shared" si="0"/>
        <v>12</v>
      </c>
      <c r="L9" s="37">
        <f t="shared" si="1"/>
        <v>2.375E-2</v>
      </c>
      <c r="M9" s="37">
        <f t="shared" si="2"/>
        <v>228.00000000000003</v>
      </c>
      <c r="N9" s="37">
        <f t="shared" si="3"/>
        <v>572</v>
      </c>
      <c r="O9" s="43">
        <f t="shared" si="4"/>
        <v>257400</v>
      </c>
      <c r="P9" s="38">
        <f t="shared" si="5"/>
        <v>225225</v>
      </c>
      <c r="Q9" s="51">
        <v>0.125</v>
      </c>
    </row>
    <row r="10" spans="2:23" ht="45" x14ac:dyDescent="0.25">
      <c r="B10" s="37">
        <v>7</v>
      </c>
      <c r="C10" s="44" t="s">
        <v>59</v>
      </c>
      <c r="D10" s="45">
        <v>624</v>
      </c>
      <c r="E10" s="37" t="s">
        <v>55</v>
      </c>
      <c r="F10" s="37">
        <v>1200</v>
      </c>
      <c r="G10" s="39">
        <v>0.1</v>
      </c>
      <c r="H10" s="37">
        <v>60</v>
      </c>
      <c r="I10" s="37">
        <v>2010</v>
      </c>
      <c r="J10" s="37">
        <v>2022</v>
      </c>
      <c r="K10" s="37">
        <f t="shared" si="0"/>
        <v>12</v>
      </c>
      <c r="L10" s="37">
        <f t="shared" si="1"/>
        <v>1.5000000000000001E-2</v>
      </c>
      <c r="M10" s="37">
        <f t="shared" si="2"/>
        <v>216.00000000000003</v>
      </c>
      <c r="N10" s="37">
        <f t="shared" si="3"/>
        <v>984</v>
      </c>
      <c r="O10" s="43">
        <f t="shared" si="4"/>
        <v>614016</v>
      </c>
      <c r="P10" s="38">
        <f t="shared" si="5"/>
        <v>521913.59999999998</v>
      </c>
      <c r="Q10" s="51">
        <v>0.15</v>
      </c>
    </row>
    <row r="11" spans="2:23" x14ac:dyDescent="0.25">
      <c r="B11" s="37"/>
      <c r="C11" s="41" t="s">
        <v>17</v>
      </c>
      <c r="D11" s="42">
        <f>SUM(D4:D10)</f>
        <v>17379</v>
      </c>
      <c r="E11" s="37"/>
      <c r="F11" s="37"/>
      <c r="G11" s="37"/>
      <c r="H11" s="37"/>
      <c r="I11" s="37"/>
      <c r="J11" s="37"/>
      <c r="K11" s="37"/>
      <c r="L11" s="37"/>
      <c r="M11" s="37"/>
      <c r="N11" s="37"/>
      <c r="O11" s="46">
        <f>SUM(O4:O10)</f>
        <v>16184856</v>
      </c>
      <c r="P11" s="46">
        <f>SUM(P4:P10)</f>
        <v>14507094.6</v>
      </c>
      <c r="Q11" s="37"/>
    </row>
    <row r="12" spans="2:23" x14ac:dyDescent="0.25">
      <c r="B12" s="63" t="s">
        <v>63</v>
      </c>
      <c r="C12" s="64"/>
      <c r="D12" s="64"/>
      <c r="E12" s="64"/>
      <c r="F12" s="64"/>
      <c r="G12" s="64"/>
      <c r="H12" s="64"/>
      <c r="I12" s="64"/>
      <c r="J12" s="64"/>
      <c r="K12" s="64"/>
      <c r="L12" s="64"/>
      <c r="M12" s="64"/>
      <c r="N12" s="64"/>
      <c r="O12" s="64"/>
      <c r="P12" s="64"/>
      <c r="Q12" s="65"/>
      <c r="R12" s="22"/>
      <c r="S12" s="22"/>
      <c r="T12" s="22"/>
      <c r="U12" s="22"/>
      <c r="V12" s="22"/>
      <c r="W12" s="22"/>
    </row>
    <row r="13" spans="2:23" ht="30" customHeight="1" x14ac:dyDescent="0.25">
      <c r="B13" s="66" t="s">
        <v>66</v>
      </c>
      <c r="C13" s="67"/>
      <c r="D13" s="67"/>
      <c r="E13" s="67"/>
      <c r="F13" s="67"/>
      <c r="G13" s="67"/>
      <c r="H13" s="67"/>
      <c r="I13" s="67"/>
      <c r="J13" s="67"/>
      <c r="K13" s="67"/>
      <c r="L13" s="67"/>
      <c r="M13" s="67"/>
      <c r="N13" s="67"/>
      <c r="O13" s="67"/>
      <c r="P13" s="67"/>
      <c r="Q13" s="68"/>
      <c r="R13" s="22"/>
      <c r="S13" s="22"/>
      <c r="T13" s="22"/>
      <c r="U13" s="22"/>
      <c r="V13" s="22"/>
      <c r="W13" s="22"/>
    </row>
    <row r="14" spans="2:23" ht="15" customHeight="1" x14ac:dyDescent="0.25">
      <c r="B14" s="69" t="s">
        <v>65</v>
      </c>
      <c r="C14" s="70"/>
      <c r="D14" s="70"/>
      <c r="E14" s="70"/>
      <c r="F14" s="70"/>
      <c r="G14" s="70"/>
      <c r="H14" s="70"/>
      <c r="I14" s="70"/>
      <c r="J14" s="70"/>
      <c r="K14" s="70"/>
      <c r="L14" s="70"/>
      <c r="M14" s="70"/>
      <c r="N14" s="70"/>
      <c r="O14" s="70"/>
      <c r="P14" s="70"/>
      <c r="Q14" s="71"/>
      <c r="R14" s="22"/>
      <c r="S14" s="22"/>
      <c r="T14" s="22"/>
      <c r="U14" s="22"/>
      <c r="V14" s="22"/>
      <c r="W14" s="22"/>
    </row>
    <row r="15" spans="2:23" ht="15" customHeight="1" x14ac:dyDescent="0.25">
      <c r="B15" s="69" t="s">
        <v>67</v>
      </c>
      <c r="C15" s="70"/>
      <c r="D15" s="70"/>
      <c r="E15" s="70"/>
      <c r="F15" s="70"/>
      <c r="G15" s="70"/>
      <c r="H15" s="70"/>
      <c r="I15" s="70"/>
      <c r="J15" s="70"/>
      <c r="K15" s="70"/>
      <c r="L15" s="70"/>
      <c r="M15" s="70"/>
      <c r="N15" s="70"/>
      <c r="O15" s="70"/>
      <c r="P15" s="70"/>
      <c r="Q15" s="71"/>
      <c r="R15" s="22"/>
      <c r="S15" s="22"/>
      <c r="T15" s="22"/>
      <c r="U15" s="22"/>
      <c r="V15" s="22"/>
      <c r="W15" s="22"/>
    </row>
    <row r="16" spans="2:23" x14ac:dyDescent="0.25">
      <c r="B16" s="69" t="s">
        <v>64</v>
      </c>
      <c r="C16" s="70"/>
      <c r="D16" s="70"/>
      <c r="E16" s="70"/>
      <c r="F16" s="70"/>
      <c r="G16" s="70"/>
      <c r="H16" s="70"/>
      <c r="I16" s="70"/>
      <c r="J16" s="70"/>
      <c r="K16" s="70"/>
      <c r="L16" s="70"/>
      <c r="M16" s="70"/>
      <c r="N16" s="70"/>
      <c r="O16" s="70"/>
      <c r="P16" s="70"/>
      <c r="Q16" s="71"/>
      <c r="R16" s="22"/>
      <c r="S16" s="22"/>
      <c r="T16" s="22"/>
      <c r="U16" s="22"/>
      <c r="V16" s="22"/>
      <c r="W16" s="22"/>
    </row>
    <row r="17" spans="18:23" x14ac:dyDescent="0.25">
      <c r="R17" s="22"/>
      <c r="S17" s="22"/>
      <c r="T17" s="22"/>
      <c r="U17" s="22"/>
      <c r="V17" s="22"/>
      <c r="W17" s="22"/>
    </row>
    <row r="18" spans="18:23" x14ac:dyDescent="0.25">
      <c r="R18" s="22"/>
      <c r="S18" s="22"/>
      <c r="T18" s="22"/>
      <c r="U18" s="22"/>
      <c r="V18" s="22"/>
      <c r="W18" s="22"/>
    </row>
    <row r="19" spans="18:23" x14ac:dyDescent="0.25">
      <c r="R19" s="22"/>
      <c r="S19" s="22"/>
      <c r="T19" s="22"/>
      <c r="U19" s="22"/>
      <c r="V19" s="22"/>
      <c r="W19" s="22"/>
    </row>
    <row r="20" spans="18:23" x14ac:dyDescent="0.25">
      <c r="R20" s="22"/>
      <c r="S20" s="22"/>
      <c r="T20" s="22"/>
      <c r="U20" s="22"/>
      <c r="V20" s="22"/>
      <c r="W20" s="22"/>
    </row>
  </sheetData>
  <mergeCells count="6">
    <mergeCell ref="B2:Q2"/>
    <mergeCell ref="B12:Q12"/>
    <mergeCell ref="B13:Q13"/>
    <mergeCell ref="B14:Q14"/>
    <mergeCell ref="B15:Q15"/>
    <mergeCell ref="B16:Q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W9"/>
  <sheetViews>
    <sheetView zoomScale="85" zoomScaleNormal="85" zoomScaleSheetLayoutView="85" workbookViewId="0">
      <selection activeCell="N4" sqref="N4"/>
    </sheetView>
  </sheetViews>
  <sheetFormatPr defaultRowHeight="15" x14ac:dyDescent="0.25"/>
  <cols>
    <col min="1" max="1" width="3.42578125" style="22" customWidth="1"/>
    <col min="2" max="2" width="12.85546875" style="22" customWidth="1"/>
    <col min="3" max="3" width="12.28515625" style="22" bestFit="1" customWidth="1"/>
    <col min="4" max="4" width="9.5703125" style="4" bestFit="1" customWidth="1"/>
    <col min="5" max="5" width="18.28515625" style="4" bestFit="1" customWidth="1"/>
    <col min="6" max="6" width="19.85546875" style="4" bestFit="1" customWidth="1"/>
    <col min="7" max="7" width="12.7109375" style="22" bestFit="1" customWidth="1"/>
    <col min="8" max="8" width="9.7109375" style="22" bestFit="1" customWidth="1"/>
    <col min="9" max="9" width="12.85546875" style="22" bestFit="1" customWidth="1"/>
    <col min="10" max="10" width="12.140625" style="22" bestFit="1" customWidth="1"/>
    <col min="11" max="12" width="11.7109375" style="22" bestFit="1" customWidth="1"/>
    <col min="13" max="13" width="10.85546875" style="22" bestFit="1" customWidth="1"/>
    <col min="14" max="14" width="12.7109375" style="22" bestFit="1" customWidth="1"/>
    <col min="15" max="15" width="10.85546875" style="22" bestFit="1" customWidth="1"/>
    <col min="16" max="16" width="13.42578125" style="22" bestFit="1" customWidth="1"/>
    <col min="17" max="17" width="12.42578125" style="22" hidden="1" customWidth="1"/>
    <col min="18" max="18" width="11.85546875" style="22" hidden="1" customWidth="1"/>
    <col min="19" max="19" width="11.42578125" style="22" hidden="1" customWidth="1"/>
    <col min="20" max="20" width="13.140625" style="28" bestFit="1" customWidth="1"/>
    <col min="21" max="21" width="16" style="22" bestFit="1" customWidth="1"/>
    <col min="22" max="22" width="13.5703125" style="22" bestFit="1" customWidth="1"/>
    <col min="23" max="23" width="14.28515625" style="22" bestFit="1" customWidth="1"/>
    <col min="24" max="16384" width="9.140625" style="22"/>
  </cols>
  <sheetData>
    <row r="2" spans="2:23" ht="15.75" x14ac:dyDescent="0.25">
      <c r="B2" s="74" t="s">
        <v>34</v>
      </c>
      <c r="C2" s="75"/>
      <c r="D2" s="75"/>
      <c r="E2" s="75"/>
      <c r="F2" s="75"/>
      <c r="G2" s="75"/>
      <c r="H2" s="75"/>
      <c r="I2" s="75"/>
      <c r="J2" s="75"/>
      <c r="K2" s="75"/>
      <c r="L2" s="75"/>
      <c r="M2" s="75"/>
      <c r="N2" s="75"/>
      <c r="P2" s="28"/>
      <c r="T2" s="22"/>
    </row>
    <row r="3" spans="2:23" ht="75" x14ac:dyDescent="0.25">
      <c r="B3" s="27" t="s">
        <v>37</v>
      </c>
      <c r="C3" s="27" t="s">
        <v>0</v>
      </c>
      <c r="D3" s="27" t="s">
        <v>1</v>
      </c>
      <c r="E3" s="27" t="s">
        <v>10</v>
      </c>
      <c r="F3" s="27" t="s">
        <v>11</v>
      </c>
      <c r="G3" s="27" t="s">
        <v>2</v>
      </c>
      <c r="H3" s="27" t="s">
        <v>4</v>
      </c>
      <c r="I3" s="27" t="s">
        <v>35</v>
      </c>
      <c r="J3" s="27" t="s">
        <v>8</v>
      </c>
      <c r="K3" s="27" t="s">
        <v>5</v>
      </c>
      <c r="L3" s="27" t="s">
        <v>6</v>
      </c>
      <c r="M3" s="27" t="s">
        <v>9</v>
      </c>
      <c r="N3" s="27" t="s">
        <v>7</v>
      </c>
      <c r="P3" s="30" t="s">
        <v>36</v>
      </c>
      <c r="T3" s="22"/>
    </row>
    <row r="4" spans="2:23" x14ac:dyDescent="0.25">
      <c r="B4" s="25">
        <f>B6*3.281</f>
        <v>393.72</v>
      </c>
      <c r="C4" s="33">
        <v>2010</v>
      </c>
      <c r="D4" s="33">
        <v>2022</v>
      </c>
      <c r="E4" s="33">
        <f>D4-C4</f>
        <v>12</v>
      </c>
      <c r="F4" s="33">
        <v>35</v>
      </c>
      <c r="G4" s="23">
        <v>0.1</v>
      </c>
      <c r="H4" s="24">
        <f>(1-G4)/F4</f>
        <v>2.5714285714285714E-2</v>
      </c>
      <c r="I4" s="2">
        <v>1500</v>
      </c>
      <c r="J4" s="21">
        <f>I4*B4</f>
        <v>590580</v>
      </c>
      <c r="K4" s="2">
        <f>J4*H4*E4</f>
        <v>182236.11428571428</v>
      </c>
      <c r="L4" s="2">
        <f>MAX(J4-K4,0)</f>
        <v>408343.88571428572</v>
      </c>
      <c r="M4" s="26">
        <v>0</v>
      </c>
      <c r="N4" s="2">
        <f>IF(L4&gt;G4*J4,L4*(1-M4),J4*G4)</f>
        <v>408343.88571428572</v>
      </c>
      <c r="P4" s="29">
        <f>Building!P11+Wall!N4</f>
        <v>14915438.485714285</v>
      </c>
      <c r="T4" s="22"/>
    </row>
    <row r="5" spans="2:23" x14ac:dyDescent="0.25">
      <c r="D5" s="22"/>
      <c r="E5" s="22"/>
      <c r="F5" s="22"/>
      <c r="I5" s="22">
        <v>3500</v>
      </c>
      <c r="P5" s="28"/>
      <c r="T5" s="22"/>
    </row>
    <row r="6" spans="2:23" x14ac:dyDescent="0.25">
      <c r="B6" s="22">
        <v>120</v>
      </c>
      <c r="D6" s="22"/>
      <c r="E6" s="22"/>
      <c r="F6" s="22"/>
      <c r="I6" s="22">
        <v>3.2808000000000002</v>
      </c>
      <c r="P6" s="28">
        <v>9600000</v>
      </c>
      <c r="T6" s="22"/>
    </row>
    <row r="7" spans="2:23" x14ac:dyDescent="0.25">
      <c r="D7" s="22"/>
      <c r="E7" s="22"/>
      <c r="F7" s="22"/>
      <c r="I7" s="22">
        <f>I5/I6</f>
        <v>1066.8129724457449</v>
      </c>
      <c r="P7" s="31">
        <f>P4+P6</f>
        <v>24515438.485714287</v>
      </c>
      <c r="T7" s="22"/>
    </row>
    <row r="8" spans="2:23" x14ac:dyDescent="0.25">
      <c r="D8" s="22"/>
      <c r="E8" s="22"/>
      <c r="F8" s="22"/>
      <c r="P8" s="28"/>
      <c r="T8" s="22"/>
    </row>
    <row r="9" spans="2:23" x14ac:dyDescent="0.25">
      <c r="U9" s="3"/>
      <c r="V9" s="1"/>
      <c r="W9" s="1"/>
    </row>
  </sheetData>
  <mergeCells count="1">
    <mergeCell ref="B2:N2"/>
  </mergeCells>
  <pageMargins left="0.31496062992125984" right="0.31496062992125984" top="0.31496062992125984" bottom="0.31496062992125984"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New (Land+Building) Valuation</vt:lpstr>
      <vt:lpstr>Building</vt:lpstr>
      <vt:lpstr>Wall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Arun Tomar</cp:lastModifiedBy>
  <cp:lastPrinted>2022-01-07T08:12:53Z</cp:lastPrinted>
  <dcterms:created xsi:type="dcterms:W3CDTF">2021-09-16T11:33:35Z</dcterms:created>
  <dcterms:modified xsi:type="dcterms:W3CDTF">2022-10-29T09:08:50Z</dcterms:modified>
</cp:coreProperties>
</file>