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Z:\In Progress Files\Tejash Bharadwaj\Cost estimation project\Final Files\"/>
    </mc:Choice>
  </mc:AlternateContent>
  <xr:revisionPtr revIDLastSave="0" documentId="13_ncr:1_{C28D6AD6-D478-46CA-AA6C-B2DDD5CB9D75}" xr6:coauthVersionLast="47" xr6:coauthVersionMax="47" xr10:uidLastSave="{00000000-0000-0000-0000-000000000000}"/>
  <bookViews>
    <workbookView xWindow="-120" yWindow="-120" windowWidth="24240" windowHeight="13140" tabRatio="750" xr2:uid="{00000000-000D-0000-FFFF-FFFF00000000}"/>
  </bookViews>
  <sheets>
    <sheet name="Summary" sheetId="8" r:id="rId1"/>
    <sheet name="Building annex." sheetId="11" r:id="rId2"/>
    <sheet name="Machine Costing" sheetId="1" r:id="rId3"/>
    <sheet name="Building Costing" sheetId="2" r:id="rId4"/>
    <sheet name="Road" sheetId="3" state="hidden" r:id="rId5"/>
    <sheet name="Parking" sheetId="4" state="hidden" r:id="rId6"/>
    <sheet name="Electrical Work" sheetId="6" r:id="rId7"/>
    <sheet name="Compound Wall" sheetId="5" state="hidden" r:id="rId8"/>
    <sheet name="Cost Estimate by RK" sheetId="9" r:id="rId9"/>
    <sheet name="Cost Estimate by RK 2" sheetId="10" state="hidden" r:id="rId10"/>
    <sheet name="Office Setup" sheetId="7" state="hidden" r:id="rId11"/>
  </sheets>
  <definedNames>
    <definedName name="_xlnm.Print_Area" localSheetId="8">'Cost Estimate by RK'!$B$4:$J$22</definedName>
    <definedName name="_xlnm.Print_Area" localSheetId="2">'Machine Costing'!$A$1:$Q$22</definedName>
    <definedName name="_xlnm.Print_Area" localSheetId="0">Summary!$B$4:$F$16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 i="6" l="1"/>
  <c r="H12" i="11" l="1"/>
  <c r="H13" i="11" s="1"/>
  <c r="F12" i="11"/>
  <c r="F13" i="11" s="1"/>
  <c r="D12" i="11"/>
  <c r="D13" i="11" s="1"/>
  <c r="J7" i="11"/>
  <c r="J8" i="11"/>
  <c r="J9" i="11"/>
  <c r="J12" i="11" s="1"/>
  <c r="J13" i="11" s="1"/>
  <c r="J10" i="11"/>
  <c r="J6" i="11"/>
  <c r="I8" i="11"/>
  <c r="G10" i="11"/>
  <c r="E10" i="11"/>
  <c r="C10" i="11"/>
  <c r="I10" i="11" s="1"/>
  <c r="G9" i="11"/>
  <c r="E9" i="11"/>
  <c r="C9" i="11"/>
  <c r="G7" i="11"/>
  <c r="E7" i="11"/>
  <c r="C7" i="11"/>
  <c r="G6" i="11"/>
  <c r="E6" i="11"/>
  <c r="C6" i="11"/>
  <c r="D11" i="8"/>
  <c r="G11" i="8" s="1"/>
  <c r="D8" i="8"/>
  <c r="G10" i="8"/>
  <c r="E22" i="2"/>
  <c r="C22" i="2"/>
  <c r="I20" i="9"/>
  <c r="I14" i="9"/>
  <c r="I8" i="9"/>
  <c r="J8" i="9" s="1"/>
  <c r="I17" i="9"/>
  <c r="I11" i="9"/>
  <c r="I5" i="9"/>
  <c r="M25" i="10"/>
  <c r="H25" i="10"/>
  <c r="J21" i="10"/>
  <c r="K21" i="10" s="1"/>
  <c r="M21" i="10" s="1"/>
  <c r="J20" i="10"/>
  <c r="K20" i="10" s="1"/>
  <c r="M20" i="10" s="1"/>
  <c r="J19" i="10"/>
  <c r="K19" i="10" s="1"/>
  <c r="M19" i="10" s="1"/>
  <c r="J18" i="10"/>
  <c r="K18" i="10" s="1"/>
  <c r="M18" i="10" s="1"/>
  <c r="K17" i="10"/>
  <c r="M17" i="10" s="1"/>
  <c r="J17" i="10"/>
  <c r="J15" i="10"/>
  <c r="K15" i="10" s="1"/>
  <c r="M15" i="10" s="1"/>
  <c r="J14" i="10"/>
  <c r="K14" i="10" s="1"/>
  <c r="M14" i="10" s="1"/>
  <c r="J13" i="10"/>
  <c r="K13" i="10" s="1"/>
  <c r="M13" i="10" s="1"/>
  <c r="K12" i="10"/>
  <c r="M12" i="10" s="1"/>
  <c r="J12" i="10"/>
  <c r="J11" i="10"/>
  <c r="K11" i="10" s="1"/>
  <c r="M11" i="10" s="1"/>
  <c r="J9" i="10"/>
  <c r="K9" i="10" s="1"/>
  <c r="M9" i="10" s="1"/>
  <c r="M8" i="10"/>
  <c r="K8" i="10"/>
  <c r="J8" i="10"/>
  <c r="J7" i="10"/>
  <c r="K7" i="10" s="1"/>
  <c r="M7" i="10" s="1"/>
  <c r="J6" i="10"/>
  <c r="K6" i="10" s="1"/>
  <c r="M6" i="10" s="1"/>
  <c r="J5" i="10"/>
  <c r="K5" i="10" s="1"/>
  <c r="I9" i="11" l="1"/>
  <c r="I7" i="11"/>
  <c r="I6" i="11"/>
  <c r="J23" i="10"/>
  <c r="C12" i="11"/>
  <c r="C13" i="11" s="1"/>
  <c r="E12" i="11"/>
  <c r="G12" i="11"/>
  <c r="K23" i="10"/>
  <c r="M5" i="10"/>
  <c r="M23" i="10" s="1"/>
  <c r="I15" i="2"/>
  <c r="F15" i="2"/>
  <c r="C15" i="2"/>
  <c r="J6" i="2"/>
  <c r="G6" i="2"/>
  <c r="D6" i="2"/>
  <c r="J20" i="9"/>
  <c r="J9" i="2" s="1"/>
  <c r="I12" i="11" l="1"/>
  <c r="I13" i="11" s="1"/>
  <c r="G13" i="11"/>
  <c r="E13" i="11"/>
  <c r="M24" i="10"/>
  <c r="N19" i="1"/>
  <c r="N20" i="1" s="1"/>
  <c r="H19" i="1"/>
  <c r="P18" i="1"/>
  <c r="R17" i="1"/>
  <c r="P17" i="1"/>
  <c r="R16" i="1"/>
  <c r="P16" i="1"/>
  <c r="P15" i="1"/>
  <c r="R15" i="1" s="1"/>
  <c r="M14" i="1"/>
  <c r="M13" i="1"/>
  <c r="P13" i="1" s="1"/>
  <c r="R13" i="1" s="1"/>
  <c r="M12" i="1"/>
  <c r="P12" i="1" s="1"/>
  <c r="R12" i="1" s="1"/>
  <c r="M11" i="1"/>
  <c r="M10" i="1"/>
  <c r="M9" i="1"/>
  <c r="P9" i="1" s="1"/>
  <c r="R9" i="1" s="1"/>
  <c r="P8" i="1"/>
  <c r="R8" i="1" s="1"/>
  <c r="M8" i="1"/>
  <c r="M7" i="1"/>
  <c r="S6" i="1"/>
  <c r="M6" i="1"/>
  <c r="P6" i="1" s="1"/>
  <c r="R6" i="1" s="1"/>
  <c r="M5" i="1"/>
  <c r="M4" i="1"/>
  <c r="P4" i="1" s="1"/>
  <c r="R4" i="1" s="1"/>
  <c r="L3" i="1"/>
  <c r="L19" i="1" s="1"/>
  <c r="L20" i="1" s="1"/>
  <c r="M26" i="10" l="1"/>
  <c r="P3" i="1"/>
  <c r="R3" i="1" s="1"/>
  <c r="D9" i="2"/>
  <c r="P7" i="1"/>
  <c r="R7" i="1" s="1"/>
  <c r="P11" i="1"/>
  <c r="R11" i="1" s="1"/>
  <c r="M19" i="1"/>
  <c r="M20" i="1" s="1"/>
  <c r="O20" i="1" s="1"/>
  <c r="O22" i="1" s="1"/>
  <c r="P5" i="1"/>
  <c r="R5" i="1" s="1"/>
  <c r="P10" i="1"/>
  <c r="R10" i="1" s="1"/>
  <c r="P14" i="1"/>
  <c r="R14" i="1" s="1"/>
  <c r="L25" i="9"/>
  <c r="H25" i="9"/>
  <c r="L20" i="9"/>
  <c r="J14" i="9"/>
  <c r="L8" i="9"/>
  <c r="J17" i="9"/>
  <c r="J15" i="2" s="1"/>
  <c r="K15" i="2" s="1"/>
  <c r="J11" i="9"/>
  <c r="G15" i="2" s="1"/>
  <c r="I18" i="9"/>
  <c r="J18" i="9" s="1"/>
  <c r="L18" i="9" s="1"/>
  <c r="I21" i="9"/>
  <c r="J21" i="9" s="1"/>
  <c r="L21" i="9" s="1"/>
  <c r="I19" i="9"/>
  <c r="J19" i="9" s="1"/>
  <c r="I12" i="9"/>
  <c r="J12" i="9" s="1"/>
  <c r="L12" i="9" s="1"/>
  <c r="I15" i="9"/>
  <c r="J15" i="9" s="1"/>
  <c r="L15" i="9" s="1"/>
  <c r="I13" i="9"/>
  <c r="J13" i="9" s="1"/>
  <c r="I6" i="9"/>
  <c r="J6" i="9" s="1"/>
  <c r="L6" i="9" s="1"/>
  <c r="I9" i="9"/>
  <c r="J9" i="9" s="1"/>
  <c r="L9" i="9" s="1"/>
  <c r="I7" i="9"/>
  <c r="J7" i="9" s="1"/>
  <c r="E6" i="8"/>
  <c r="I10" i="2"/>
  <c r="I9" i="2"/>
  <c r="I7" i="2"/>
  <c r="I6" i="2"/>
  <c r="G21" i="2" s="1"/>
  <c r="H21" i="2" s="1"/>
  <c r="C5" i="5"/>
  <c r="C8" i="5" s="1"/>
  <c r="C5" i="4"/>
  <c r="C5" i="3"/>
  <c r="F10" i="2"/>
  <c r="F9" i="2"/>
  <c r="I20" i="2" s="1"/>
  <c r="F7" i="2"/>
  <c r="F6" i="2"/>
  <c r="C6" i="2"/>
  <c r="C6" i="4"/>
  <c r="C9" i="8" s="1"/>
  <c r="L8" i="2"/>
  <c r="G20" i="2" l="1"/>
  <c r="H20" i="2" s="1"/>
  <c r="M25" i="9"/>
  <c r="N25" i="10"/>
  <c r="O25" i="10" s="1"/>
  <c r="P20" i="1"/>
  <c r="P22" i="1" s="1"/>
  <c r="K9" i="2"/>
  <c r="I21" i="2"/>
  <c r="H15" i="2"/>
  <c r="L19" i="9"/>
  <c r="J7" i="2"/>
  <c r="K7" i="2" s="1"/>
  <c r="H6" i="2"/>
  <c r="L11" i="9"/>
  <c r="L13" i="9"/>
  <c r="G7" i="2"/>
  <c r="H7" i="2" s="1"/>
  <c r="L17" i="9"/>
  <c r="K6" i="2"/>
  <c r="L7" i="9"/>
  <c r="D7" i="2"/>
  <c r="P7" i="2"/>
  <c r="L14" i="9"/>
  <c r="O9" i="2" s="1"/>
  <c r="G9" i="2"/>
  <c r="M9" i="2" s="1"/>
  <c r="P9" i="2"/>
  <c r="O10" i="2"/>
  <c r="N25" i="9"/>
  <c r="I12" i="2"/>
  <c r="I23" i="9"/>
  <c r="J5" i="9"/>
  <c r="D15" i="2" s="1"/>
  <c r="C10" i="8"/>
  <c r="E10" i="8" s="1"/>
  <c r="C9" i="7"/>
  <c r="C12" i="8" s="1"/>
  <c r="E12" i="8" s="1"/>
  <c r="E15" i="2" l="1"/>
  <c r="L15" i="2"/>
  <c r="O7" i="2"/>
  <c r="Q7" i="2" s="1"/>
  <c r="I13" i="2"/>
  <c r="D21" i="2"/>
  <c r="M15" i="2"/>
  <c r="J23" i="9"/>
  <c r="P6" i="2"/>
  <c r="P12" i="2" s="1"/>
  <c r="M7" i="2"/>
  <c r="Q9" i="2"/>
  <c r="H9" i="2"/>
  <c r="L5" i="9"/>
  <c r="L23" i="9" s="1"/>
  <c r="C10" i="2"/>
  <c r="C9" i="2"/>
  <c r="I19" i="2" s="1"/>
  <c r="C7" i="2"/>
  <c r="C11" i="6"/>
  <c r="C11" i="8" s="1"/>
  <c r="E7" i="2" l="1"/>
  <c r="G19" i="2"/>
  <c r="H19" i="2" s="1"/>
  <c r="L24" i="9"/>
  <c r="N15" i="2"/>
  <c r="M6" i="2"/>
  <c r="M12" i="2" s="1"/>
  <c r="E6" i="2"/>
  <c r="L6" i="2" s="1"/>
  <c r="E9" i="2"/>
  <c r="L9" i="2" s="1"/>
  <c r="R9" i="2" s="1"/>
  <c r="O6" i="2"/>
  <c r="Q6" i="2" s="1"/>
  <c r="L10" i="2"/>
  <c r="R10" i="2" s="1"/>
  <c r="L7" i="2"/>
  <c r="N7" i="2" s="1"/>
  <c r="F12" i="2"/>
  <c r="C12" i="2"/>
  <c r="C7" i="4"/>
  <c r="C6" i="3"/>
  <c r="N24" i="10" s="1"/>
  <c r="O24" i="10" s="1"/>
  <c r="C13" i="2" l="1"/>
  <c r="D19" i="2"/>
  <c r="F13" i="2"/>
  <c r="D20" i="2"/>
  <c r="N6" i="2"/>
  <c r="N9" i="2"/>
  <c r="R7" i="2"/>
  <c r="C7" i="3"/>
  <c r="M24" i="9"/>
  <c r="D11" i="6"/>
  <c r="E4" i="6"/>
  <c r="E11" i="6" s="1"/>
  <c r="R6" i="2"/>
  <c r="O12" i="2"/>
  <c r="O13" i="2" s="1"/>
  <c r="C8" i="8"/>
  <c r="E8" i="8" s="1"/>
  <c r="D22" i="2" l="1"/>
  <c r="R12" i="2"/>
  <c r="R13" i="2" s="1"/>
  <c r="E11" i="8"/>
  <c r="N24" i="9"/>
  <c r="L26" i="9"/>
  <c r="D14" i="8" l="1"/>
  <c r="L12" i="2"/>
  <c r="N5" i="10" s="1"/>
  <c r="N23" i="10" l="1"/>
  <c r="N26" i="10" s="1"/>
  <c r="O5" i="10"/>
  <c r="O23" i="10" s="1"/>
  <c r="O26" i="10" s="1"/>
  <c r="L13" i="2"/>
  <c r="M5" i="9"/>
  <c r="E7" i="8"/>
  <c r="E14" i="8" s="1"/>
  <c r="N5" i="9" l="1"/>
  <c r="M23" i="9"/>
  <c r="M26" i="9" s="1"/>
  <c r="C14" i="8"/>
  <c r="N23" i="9" l="1"/>
  <c r="N26" i="9" s="1"/>
</calcChain>
</file>

<file path=xl/sharedStrings.xml><?xml version="1.0" encoding="utf-8"?>
<sst xmlns="http://schemas.openxmlformats.org/spreadsheetml/2006/main" count="530" uniqueCount="191">
  <si>
    <t>Item/Machine</t>
  </si>
  <si>
    <t>Qty</t>
  </si>
  <si>
    <t>Price (Euro)</t>
  </si>
  <si>
    <t>Price (Dollar)</t>
  </si>
  <si>
    <t>Total</t>
  </si>
  <si>
    <t>Multiflex Foam Machine</t>
  </si>
  <si>
    <t>Specifications</t>
  </si>
  <si>
    <t>Automatic Continue Foam Machine Production Line</t>
  </si>
  <si>
    <t>Transport</t>
  </si>
  <si>
    <t>Grand Total</t>
  </si>
  <si>
    <t>Civil Structure</t>
  </si>
  <si>
    <t>Floor</t>
  </si>
  <si>
    <t>Window and Door</t>
  </si>
  <si>
    <t>PEB Structure</t>
  </si>
  <si>
    <t>Total (in INR)</t>
  </si>
  <si>
    <t>Total In INR</t>
  </si>
  <si>
    <t>Sq.Ft Price (In INR)</t>
  </si>
  <si>
    <t>Fire and Electrical Fitting</t>
  </si>
  <si>
    <t>Road</t>
  </si>
  <si>
    <t>Parking</t>
  </si>
  <si>
    <t>Compound Wall</t>
  </si>
  <si>
    <t>Foam Building Road</t>
  </si>
  <si>
    <t>Foam Building Parking</t>
  </si>
  <si>
    <t>Road (50000 Sq. ft)</t>
  </si>
  <si>
    <t>Machine Platform</t>
  </si>
  <si>
    <t>Tank Valve and Pump</t>
  </si>
  <si>
    <t>Chiller for Chemical</t>
  </si>
  <si>
    <t>HT-AVR 500 KVA</t>
  </si>
  <si>
    <t>Cabling</t>
  </si>
  <si>
    <t>Electrical Fitting</t>
  </si>
  <si>
    <t>Office IT Asset</t>
  </si>
  <si>
    <t>Extra</t>
  </si>
  <si>
    <t>SN-C4 BlockTransfer Conveyer with Left and Right</t>
  </si>
  <si>
    <t>(1)Length:4m
(2)Effective Width:2400mm</t>
  </si>
  <si>
    <t>SN-C12 12m Conveyor</t>
  </si>
  <si>
    <t>(1)Length:12m
(2)Effective Width:2400mm</t>
  </si>
  <si>
    <t>SN-R63 Foam Rack System</t>
  </si>
  <si>
    <t>(1)Length:63m
(2)Effective Width:2400mm</t>
  </si>
  <si>
    <t>SN-G32 Gantry System</t>
  </si>
  <si>
    <t>(1)Length:21m
(2)Effective Width:2400mm</t>
  </si>
  <si>
    <t>SN-C30 30m Conveyor</t>
  </si>
  <si>
    <t>SN-B2.0 Block Cutting Machine (Fix)</t>
  </si>
  <si>
    <t>(1)Cutting Width:2400 mm
(2)Cutting Length:1300mm</t>
  </si>
  <si>
    <t>SN-MC-SB2.0 Block Cutter With Conveyor and Side cutter</t>
  </si>
  <si>
    <t>(1)Cutting Width:1.2-2.4m
(2)Height:800mm
(3)CuttingHeight:1300mm</t>
  </si>
  <si>
    <t>(1)Length:31m
(2)Effective Width:2400mm
(3)Effective Height:1500mm</t>
  </si>
  <si>
    <t>SN-LP2.0 Long Sheet Foam Cutting Machine (30m)</t>
  </si>
  <si>
    <t>(1)Cutting Foam Width: W=2200mm
(2)Cutting Foam Height: H 1300mm
(3)Cutting Thickness:2~60 mm</t>
  </si>
  <si>
    <t>(1)Cutting Width:2200mm
(2)Length:31+1.5m roller conveyor
(3)Height:400 mm</t>
  </si>
  <si>
    <t>SN-V4.0 Vertical Foam Cutting Machine</t>
  </si>
  <si>
    <t>Joining and Counting roll machine</t>
  </si>
  <si>
    <t>(1)Inside Worktable Size:W1720xL2440mm
(2)Baffle Height:H600mm
(3)Cutting Height:H1200mm
(4)Blade Length=L8700mm
(5)Total Power:1.87KW</t>
  </si>
  <si>
    <t>(1)Length:2150mm
(2)Joint Thickness:5-50mm</t>
  </si>
  <si>
    <t>LT Panel</t>
  </si>
  <si>
    <t>VCB</t>
  </si>
  <si>
    <t>Office Setup</t>
  </si>
  <si>
    <t>Tank</t>
  </si>
  <si>
    <t>Compound Wall (RMT)</t>
  </si>
  <si>
    <t>Check Post (4 Set)</t>
  </si>
  <si>
    <t>Office Setup and Furniture</t>
  </si>
  <si>
    <t>Mail Gate (2 Set)</t>
  </si>
  <si>
    <t>Machine Costing</t>
  </si>
  <si>
    <t>Building Costing</t>
  </si>
  <si>
    <t>Compound Wall &amp; Main Gate</t>
  </si>
  <si>
    <t>Electrical Work</t>
  </si>
  <si>
    <t>Office Set-up</t>
  </si>
  <si>
    <t>Road (25020 Sq. ft)</t>
  </si>
  <si>
    <t>Wall (900 RMT)</t>
  </si>
  <si>
    <t>Sr. No.</t>
  </si>
  <si>
    <t>Area (Sq. ft.)</t>
  </si>
  <si>
    <t>Area (Sq. mtr.)</t>
  </si>
  <si>
    <t>Rate</t>
  </si>
  <si>
    <t>Building 1</t>
  </si>
  <si>
    <t>Building 2</t>
  </si>
  <si>
    <t>Building 3</t>
  </si>
  <si>
    <t>PEB Structure above 3 m height</t>
  </si>
  <si>
    <t>Entire RCC Flooring</t>
  </si>
  <si>
    <t>Firefighting works</t>
  </si>
  <si>
    <t>-</t>
  </si>
  <si>
    <t>RCC up to 3 m height</t>
  </si>
  <si>
    <t>Height (m)</t>
  </si>
  <si>
    <t>Width (m)</t>
  </si>
  <si>
    <t>Length (m)</t>
  </si>
  <si>
    <t>Remarks</t>
  </si>
  <si>
    <t>Foundation Works incl. Excavation</t>
  </si>
  <si>
    <t>Site Development Works</t>
  </si>
  <si>
    <t>RCC up to 6 ft</t>
  </si>
  <si>
    <t>Our Estimate</t>
  </si>
  <si>
    <t>Company's Estimate</t>
  </si>
  <si>
    <t>Difference</t>
  </si>
  <si>
    <t>Approx. 4.5% of Building Cost</t>
  </si>
  <si>
    <t>OUR ESTIMATE</t>
  </si>
  <si>
    <t>DIFFERENCE</t>
  </si>
  <si>
    <t>SUB-TOTAL (BUILDING)</t>
  </si>
  <si>
    <t>GRAND TOTAL (CONSTUCTION COST)</t>
  </si>
  <si>
    <t>RCC Flooring area is considered for complete Area i.e. LxW=AREA.</t>
  </si>
  <si>
    <t>Isolated foundation works and Ground excavation works are considered for complete area only i.e. LxW=Area.</t>
  </si>
  <si>
    <t>BUILDING COST VETTING OF M/s VarahaMurti Flexirub Industries Pvt Ltd - VIS(2022-23)-PL370-Q087</t>
  </si>
  <si>
    <t>Only RCC walls have to be constructed. Therefore area of only RCC walls is considered for cost calcuation purpose.</t>
  </si>
  <si>
    <t>Site development works include Levelling, Internal Road and Paths, External Sewerage, Rain water Harvesting, Trenches for services etc.</t>
  </si>
  <si>
    <t>Specifications are yet to be finalised by the company.</t>
  </si>
  <si>
    <t>Construction cost of the compound wall is calculated on the basis of Runnin meter.</t>
  </si>
  <si>
    <t>Structure Name</t>
  </si>
  <si>
    <r>
      <rPr>
        <b/>
        <sz val="11"/>
        <color theme="1"/>
        <rFont val="Calibri"/>
        <family val="2"/>
        <scheme val="minor"/>
      </rPr>
      <t>Low Load PEB shed</t>
    </r>
    <r>
      <rPr>
        <sz val="11"/>
        <color theme="1"/>
        <rFont val="Calibri"/>
        <family val="2"/>
        <scheme val="minor"/>
      </rPr>
      <t xml:space="preserve"> is considered for cost calculation purpose.</t>
    </r>
  </si>
  <si>
    <t>PARTICULARS</t>
  </si>
  <si>
    <r>
      <t xml:space="preserve">Firefighting with </t>
    </r>
    <r>
      <rPr>
        <b/>
        <sz val="11"/>
        <color theme="1"/>
        <rFont val="Calibri"/>
        <family val="2"/>
        <scheme val="minor"/>
      </rPr>
      <t>Wet-riser and Sprinkler system</t>
    </r>
    <r>
      <rPr>
        <sz val="11"/>
        <color theme="1"/>
        <rFont val="Calibri"/>
        <family val="2"/>
        <scheme val="minor"/>
      </rPr>
      <t xml:space="preserve"> is considered in our asessment.</t>
    </r>
  </si>
  <si>
    <t xml:space="preserve">SUMMARY OF COST VETTING </t>
  </si>
  <si>
    <t>BUILDING COST</t>
  </si>
  <si>
    <t>FOAM BUILDING</t>
  </si>
  <si>
    <t>STRUCTURE</t>
  </si>
  <si>
    <t>Total (59,000 Sq. Ft)</t>
  </si>
  <si>
    <t>Particulars</t>
  </si>
  <si>
    <t>Amount by Company</t>
  </si>
  <si>
    <t>Our Asessment</t>
  </si>
  <si>
    <t>Provided</t>
  </si>
  <si>
    <t>Negotiated</t>
  </si>
  <si>
    <t>TOTAL</t>
  </si>
  <si>
    <t>REMARKS</t>
  </si>
  <si>
    <t xml:space="preserve">Machine costing has been analysed based on Copies of Quotation provided to us by the company as the company has already finalised its suppliers. </t>
  </si>
  <si>
    <t>Building, Road, Parking, Compound wall and Main gate costing has been analysed based on Plinth area rates applicable at present considering the building specification provided to us by the company.</t>
  </si>
  <si>
    <t>PROJECT COST ASESSMENT</t>
  </si>
  <si>
    <t>Website  Link</t>
  </si>
  <si>
    <t>Machine Make/Seller</t>
  </si>
  <si>
    <t>Snapshot</t>
  </si>
  <si>
    <t>GST Check</t>
  </si>
  <si>
    <t>Price 
(INR)</t>
  </si>
  <si>
    <t>Total 
(Euro)</t>
  </si>
  <si>
    <t>Total 
(Dollar)</t>
  </si>
  <si>
    <t>Total 
(INR)</t>
  </si>
  <si>
    <t>OUR ASESSMENT BASED ON QUOTATION (INR)</t>
  </si>
  <si>
    <t>Quotation (Provided/ Not Provided)</t>
  </si>
  <si>
    <t xml:space="preserve">https://www.hennecke.com/ </t>
  </si>
  <si>
    <t>Hennecke Polyurethane Technology</t>
  </si>
  <si>
    <t>GST No. not regd. In India</t>
  </si>
  <si>
    <t>There is no Dedicated Website for this supplier on public domain. Thus Verfication of this supplier cant be done.</t>
  </si>
  <si>
    <t>Boqi Shenzhen Trading Co., Ltd.</t>
  </si>
  <si>
    <t>---</t>
  </si>
  <si>
    <t>G. S. Fabricator</t>
  </si>
  <si>
    <t>GST verified</t>
  </si>
  <si>
    <t>Tanks</t>
  </si>
  <si>
    <t>Shilpi Engineering Concern</t>
  </si>
  <si>
    <t>Machine Platforms</t>
  </si>
  <si>
    <t>Industrial Water Chiller | Industrial Chiller Suppliers, Manufacturers (airtechcool.com)</t>
  </si>
  <si>
    <t>Airtech Cooling</t>
  </si>
  <si>
    <t>Chiller for Chemicalial Water</t>
  </si>
  <si>
    <t>Sub Total</t>
  </si>
  <si>
    <t>AMOUNT ESTIMATED BY COMPANY</t>
  </si>
  <si>
    <t>AMOUNT ESTIMATED BY CONSULTANT</t>
  </si>
  <si>
    <t>Flooring</t>
  </si>
  <si>
    <t>Boundary Wall</t>
  </si>
  <si>
    <t>RCC Wall up to 3 m height</t>
  </si>
  <si>
    <t>Windows and Doors</t>
  </si>
  <si>
    <t>Cost of Doors and windows is considered on Lump sum basis only</t>
  </si>
  <si>
    <r>
      <t xml:space="preserve">1. Only RCC walls have to be constructed. Therefore area of only RCC walls is considered for cost calcuation purpose.
2. </t>
    </r>
    <r>
      <rPr>
        <b/>
        <sz val="11"/>
        <color theme="1"/>
        <rFont val="Calibri"/>
        <family val="2"/>
        <scheme val="minor"/>
      </rPr>
      <t>Medium Load PEB shed</t>
    </r>
    <r>
      <rPr>
        <sz val="11"/>
        <color theme="1"/>
        <rFont val="Calibri"/>
        <family val="2"/>
        <scheme val="minor"/>
      </rPr>
      <t xml:space="preserve"> is considered for cost calculation purpose.
3. Firefighting with </t>
    </r>
    <r>
      <rPr>
        <b/>
        <sz val="11"/>
        <color theme="1"/>
        <rFont val="Calibri"/>
        <family val="2"/>
        <scheme val="minor"/>
      </rPr>
      <t>Wet-riser and Sprinkler system</t>
    </r>
    <r>
      <rPr>
        <sz val="11"/>
        <color theme="1"/>
        <rFont val="Calibri"/>
        <family val="2"/>
        <scheme val="minor"/>
      </rPr>
      <t xml:space="preserve"> is considered in our asessment.
4. Isolated foundation works and Ground excavation works are considered for complete area only i.e. LxW=Area.
</t>
    </r>
    <r>
      <rPr>
        <b/>
        <sz val="11"/>
        <color theme="1"/>
        <rFont val="Calibri"/>
        <family val="2"/>
        <scheme val="minor"/>
      </rPr>
      <t xml:space="preserve">5.Proposed Extension of the structure up to 15 m is not considered in our cost vetting.
6. </t>
    </r>
    <r>
      <rPr>
        <sz val="11"/>
        <color theme="1"/>
        <rFont val="Calibri"/>
        <family val="2"/>
        <scheme val="minor"/>
      </rPr>
      <t>Cost of Doors and Windows is considered on Lump sum basis only.</t>
    </r>
  </si>
  <si>
    <t>Category of Work</t>
  </si>
  <si>
    <t>Work Specs.</t>
  </si>
  <si>
    <t>Office set up cost is considered same as given by the company only since we have not received any details of furnitures/Office equipments that are to be installed in the office. However the same seems fine for general purposed office furniture works.</t>
  </si>
  <si>
    <r>
      <rPr>
        <b/>
        <u/>
        <sz val="11"/>
        <color theme="1"/>
        <rFont val="Calibri"/>
        <family val="2"/>
        <scheme val="minor"/>
      </rPr>
      <t xml:space="preserve">Note: 
</t>
    </r>
    <r>
      <rPr>
        <sz val="11"/>
        <color theme="1"/>
        <rFont val="Calibri"/>
        <family val="2"/>
        <scheme val="minor"/>
      </rPr>
      <t xml:space="preserve">
</t>
    </r>
    <r>
      <rPr>
        <b/>
        <sz val="11"/>
        <color theme="1"/>
        <rFont val="Calibri"/>
        <family val="2"/>
        <scheme val="minor"/>
      </rPr>
      <t xml:space="preserve">1. </t>
    </r>
    <r>
      <rPr>
        <sz val="11"/>
        <color theme="1"/>
        <rFont val="Calibri"/>
        <family val="2"/>
        <scheme val="minor"/>
      </rPr>
      <t xml:space="preserve">Cost vetting of the Machinery has been done based on copies of quotation provided by the company only. 
</t>
    </r>
    <r>
      <rPr>
        <b/>
        <sz val="11"/>
        <color theme="1"/>
        <rFont val="Calibri"/>
        <family val="2"/>
        <scheme val="minor"/>
      </rPr>
      <t>a.</t>
    </r>
    <r>
      <rPr>
        <sz val="11"/>
        <color theme="1"/>
        <rFont val="Calibri"/>
        <family val="2"/>
        <scheme val="minor"/>
      </rPr>
      <t xml:space="preserve"> The purchase cost of the Foam machine (1850 ton per month Capacity) as per the copy of final quotation shared with us amounts to 13,00,000/- Euro. Based on our general research in the public domain the similar machine costs lesser than its German counterpart if purchased from China due to cheap manpower and low production costs. Clarification in this regard was sought from the company. Accordingly, it was informed by the company that the German make “Hennecke Polyurethane Technology" foam machine is more productive than its Chinese counterpart. Therefore the main foam machine is being purchased from Hennecke Polyurethane Technology, Germany.
</t>
    </r>
    <r>
      <rPr>
        <b/>
        <sz val="11"/>
        <color theme="1"/>
        <rFont val="Calibri"/>
        <family val="2"/>
        <scheme val="minor"/>
      </rPr>
      <t>b.</t>
    </r>
    <r>
      <rPr>
        <sz val="11"/>
        <color theme="1"/>
        <rFont val="Calibri"/>
        <family val="2"/>
        <scheme val="minor"/>
      </rPr>
      <t xml:space="preserve"> We have tried to verify the quotations of the Non indigenous machines which is required in this plant. Since, the machines are ordered based on the specific usage and specification, therefore we were not able to fetch the current market quotation of the machines of same type and specifications.
</t>
    </r>
    <r>
      <rPr>
        <b/>
        <sz val="11"/>
        <color theme="1"/>
        <rFont val="Calibri"/>
        <family val="2"/>
        <scheme val="minor"/>
      </rPr>
      <t xml:space="preserve">c. </t>
    </r>
    <r>
      <rPr>
        <sz val="11"/>
        <color theme="1"/>
        <rFont val="Calibri"/>
        <family val="2"/>
        <scheme val="minor"/>
      </rPr>
      <t xml:space="preserve">Considering the type of industry and general specifications of the auxiliary machines it was observed that the similar auxillary machines might also be available in Germany from where their main Foam machine is being purchased. The same was discussed with the company. Accordingly, it was informed to us that the auxiliary machines used in the plant are Chinese make because it is economical to purchase these auxiliary machines from China instead of Germany and thus contributes to cost saving in the project.  
</t>
    </r>
    <r>
      <rPr>
        <b/>
        <sz val="11"/>
        <color theme="1"/>
        <rFont val="Calibri"/>
        <family val="2"/>
        <scheme val="minor"/>
      </rPr>
      <t>2.</t>
    </r>
    <r>
      <rPr>
        <sz val="11"/>
        <color theme="1"/>
        <rFont val="Calibri"/>
        <family val="2"/>
        <scheme val="minor"/>
      </rPr>
      <t xml:space="preserve"> Cost Vetting of Civil construction is done based on following information 
</t>
    </r>
    <r>
      <rPr>
        <b/>
        <sz val="11"/>
        <color theme="1"/>
        <rFont val="Calibri"/>
        <family val="2"/>
        <scheme val="minor"/>
      </rPr>
      <t>a</t>
    </r>
    <r>
      <rPr>
        <sz val="11"/>
        <color theme="1"/>
        <rFont val="Calibri"/>
        <family val="2"/>
        <scheme val="minor"/>
      </rPr>
      <t xml:space="preserve">. AutoCAD Conceptual plan of the project.
</t>
    </r>
    <r>
      <rPr>
        <b/>
        <sz val="11"/>
        <color theme="1"/>
        <rFont val="Calibri"/>
        <family val="2"/>
        <scheme val="minor"/>
      </rPr>
      <t>b.</t>
    </r>
    <r>
      <rPr>
        <sz val="11"/>
        <color theme="1"/>
        <rFont val="Calibri"/>
        <family val="2"/>
        <scheme val="minor"/>
      </rPr>
      <t xml:space="preserve"> General specification of the project the structures provided by the company.
</t>
    </r>
    <r>
      <rPr>
        <b/>
        <sz val="11"/>
        <color theme="1"/>
        <rFont val="Calibri"/>
        <family val="2"/>
        <scheme val="minor"/>
      </rPr>
      <t>c.</t>
    </r>
    <r>
      <rPr>
        <sz val="11"/>
        <color theme="1"/>
        <rFont val="Calibri"/>
        <family val="2"/>
        <scheme val="minor"/>
      </rPr>
      <t xml:space="preserve"> Plinth area rates that logically seems applicable to the proposed general specfications of the building.</t>
    </r>
  </si>
  <si>
    <t>Area</t>
  </si>
  <si>
    <t>PEB structure (Steel Component)</t>
  </si>
  <si>
    <t xml:space="preserve">Rate per sq. ft. </t>
  </si>
  <si>
    <t>RCC Wall, Foundation and Colums</t>
  </si>
  <si>
    <t>RCC Flooring</t>
  </si>
  <si>
    <t>Medium Load Steel work only</t>
  </si>
  <si>
    <t>Thickness (m)</t>
  </si>
  <si>
    <t>Area (B1)/Length</t>
  </si>
  <si>
    <t>Area (B2)/Length</t>
  </si>
  <si>
    <t>Area (B3)/Length</t>
  </si>
  <si>
    <t>Area (B1+B2+B3)/Length</t>
  </si>
  <si>
    <t>Civil Structure (Wall only)</t>
  </si>
  <si>
    <t>Amount as per Client</t>
  </si>
  <si>
    <t>Amount as per RKA</t>
  </si>
  <si>
    <t xml:space="preserve">1. As per the construction cost quoted by the client the overall per sq. ft. construction cost comes out to approx. Rs. 1000 per sq. ft. The same is well within the industrial standards.
2. The cost of Civil structure(RCC wall, RCC flooring, Foundation works etc. ), Widows &amp; doors and Fire &amp; electrical fitting works comes out to approximately Rs.607 per sq. ft.. The same is well within the industrial standards.
3. As per the tentative quantity of steel to be used in PEB structures as provided by the company, the steel requirement comes out to Approx. 3.47 kg per sq. ft. in this building which seems to be acceptable for such type of Low to Medium load structure. Accordingly, the Cost of PEB structure comes out to approx. Rs.400 per sq. ft. The same is well within the industrial standards.
 </t>
  </si>
  <si>
    <t>1. As per the construction cost quoted by the client the overall per sq. ft. construction cost comes out to approx. Rs. 1000 per sq. ft. The same is well within the industrial standards.
2. The cost of Civil structure(RCC wall, RCC flooring, Foundation works etc. ), Widows &amp; doors and Fire &amp; electrical fitting works comes out to approximately Rs.  571 per sq. ft.. The same is well within the industrial standards.
3. As per the tentative quantity of steel to be used in PEB structures as provided by the company, the steel requirement comes out to Approx. 3.36 kg per sq. ft. in this building which seems to be acceptable for such type of medium load structure. Accordingly, the Cost of PEB structure comes out to approx. Rs. 430 per sq. ft. The same is well within the industrial standards.</t>
  </si>
  <si>
    <t>Approx. 6% of Building Cost</t>
  </si>
  <si>
    <t>GRAND TOTAL</t>
  </si>
  <si>
    <t>The Building construction cost estimated by the company seems to be in line with the industry standards. As per our analysis the same is including the applicable GST.</t>
  </si>
  <si>
    <t>1. As per the construction cost quoted by the client the overall per sq. ft. construction cost comes out to approx. Rs. 1200 per sq. ft. The same is well within the industrial standards.
2. The cost of Civil structure(RCC wall, RCC flooring, Foundation works etc. ), Widows &amp; doors and Fire &amp; electrical fitting works comes out to approximately Rs.560 per sq. ft.. The same is well within the industrial standards.
3. As per the tentative quantity of steel to be used in PEB structures as provided by the company, the steel requirement comes out to Approx. 4.8 kg per sq. ft. in this building which seems to be acceptable for such type of Medium to High Load plain structure. Accordingly, the Cost of PEB structure comes out to approx. Rs. 635 per sq. ft. The same is well within the industrial standards.</t>
  </si>
  <si>
    <t>Building 1 
(As per company)</t>
  </si>
  <si>
    <t>Building 1 
(As per RKA)</t>
  </si>
  <si>
    <t>Building 2
(As per company)</t>
  </si>
  <si>
    <t>Building 2
(As per RKA)</t>
  </si>
  <si>
    <t>Building 3
(As per company)</t>
  </si>
  <si>
    <t>Building 3
(As per RKA)</t>
  </si>
  <si>
    <t>Total (59,000 Sq. Ft)
(As per Company)</t>
  </si>
  <si>
    <t>Total (59,000 Sq. Ft)
(As per RKA)</t>
  </si>
  <si>
    <t>Foam Machine and Other Support Machines</t>
  </si>
  <si>
    <t>1. As per the construction cost quoted by the client the overall per sq. ft. construction cost comes out to approx. Rs. 1000 per sq. ft. The same is well within the industrial standards.
2. The cost of Civil structure (RCC wall, RCC flooring, Foundation works etc. ), Widows &amp; doors and Fire &amp; electrical fitting works comes out to approximately Rs.  571 per sq. ft.. The same is well within the industrial standards.
3. As per the tentative quantity of steel to be used in PEB structures as provided by the company, the steel requirement comes out to Approx. 3.36 kg per sq. ft. in this building which seems to be acceptable for such type of medium load structure. Accordingly, the Cost of PEB structure comes out to approx. Rs. 430 per sq. ft. The same is well within the industrial standards.</t>
  </si>
  <si>
    <t>Electrical Works</t>
  </si>
  <si>
    <t>1. The cost of electrical works seems to be on higher side.
2. The cost of electrical works have been condiered as approx. 13% of building cost. 
3. Electrical works includes conduiting, wiring, switches and other small and ancilliary electrical works. 
4. Special purpose elctrical works are not conisdered in our asessment.</t>
  </si>
  <si>
    <r>
      <rPr>
        <b/>
        <u/>
        <sz val="11"/>
        <color theme="1"/>
        <rFont val="Calibri"/>
        <family val="2"/>
        <scheme val="minor"/>
      </rPr>
      <t>Note:</t>
    </r>
    <r>
      <rPr>
        <sz val="11"/>
        <color theme="1"/>
        <rFont val="Calibri"/>
        <family val="2"/>
        <scheme val="minor"/>
      </rPr>
      <t xml:space="preserve"> The Electrical cost has been considered as approx. 13% of Building Cost.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</si>
</sst>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00"/>
    <numFmt numFmtId="165" formatCode="&quot;₹&quot;\ #,##0.00"/>
    <numFmt numFmtId="166" formatCode="_ * #,##0_ ;_ * \-#,##0_ ;_ * &quot;-&quot;??_ ;_ @_ "/>
  </numFmts>
  <fonts count="21" x14ac:knownFonts="1">
    <font>
      <sz val="11"/>
      <color theme="1"/>
      <name val="Calibri"/>
      <family val="2"/>
      <scheme val="minor"/>
    </font>
    <font>
      <b/>
      <sz val="11"/>
      <color theme="1"/>
      <name val="Calibri"/>
      <family val="2"/>
      <scheme val="minor"/>
    </font>
    <font>
      <b/>
      <sz val="20"/>
      <color theme="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sz val="12"/>
      <color theme="0"/>
      <name val="Calibri"/>
      <family val="2"/>
      <scheme val="minor"/>
    </font>
    <font>
      <b/>
      <sz val="14"/>
      <color theme="0"/>
      <name val="Calibri"/>
      <family val="2"/>
      <scheme val="minor"/>
    </font>
    <font>
      <b/>
      <u/>
      <sz val="20"/>
      <color theme="4" tint="-0.499984740745262"/>
      <name val="Calibri"/>
      <family val="2"/>
      <scheme val="minor"/>
    </font>
    <font>
      <b/>
      <u/>
      <sz val="18"/>
      <color theme="4" tint="-0.499984740745262"/>
      <name val="Calibri"/>
      <family val="2"/>
      <scheme val="minor"/>
    </font>
    <font>
      <b/>
      <sz val="18"/>
      <color theme="0"/>
      <name val="Calibri"/>
      <family val="2"/>
      <scheme val="minor"/>
    </font>
    <font>
      <b/>
      <sz val="18"/>
      <color theme="4" tint="-0.499984740745262"/>
      <name val="Calibri"/>
      <family val="2"/>
      <scheme val="minor"/>
    </font>
    <font>
      <sz val="11"/>
      <color theme="1"/>
      <name val="Calibri"/>
      <family val="2"/>
      <scheme val="minor"/>
    </font>
    <font>
      <b/>
      <u/>
      <sz val="11"/>
      <color theme="1"/>
      <name val="Calibri"/>
      <family val="2"/>
      <scheme val="minor"/>
    </font>
    <font>
      <u/>
      <sz val="11"/>
      <color theme="10"/>
      <name val="Calibri"/>
      <family val="2"/>
      <scheme val="minor"/>
    </font>
    <font>
      <sz val="8"/>
      <name val="Calibri"/>
      <family val="2"/>
      <scheme val="minor"/>
    </font>
    <font>
      <b/>
      <u/>
      <sz val="18"/>
      <color theme="0"/>
      <name val="Calibri"/>
      <family val="2"/>
      <scheme val="minor"/>
    </font>
    <font>
      <b/>
      <sz val="18"/>
      <color theme="1"/>
      <name val="Calibri"/>
      <family val="2"/>
      <scheme val="minor"/>
    </font>
    <font>
      <sz val="18"/>
      <color theme="1"/>
      <name val="Calibri"/>
      <family val="2"/>
      <scheme val="minor"/>
    </font>
    <font>
      <b/>
      <sz val="36"/>
      <color theme="0"/>
      <name val="Calibri"/>
      <family val="2"/>
      <scheme val="minor"/>
    </font>
    <font>
      <b/>
      <sz val="20"/>
      <color theme="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rgb="FF0070C0"/>
        <bgColor indexed="64"/>
      </patternFill>
    </fill>
    <fill>
      <patternFill patternType="solid">
        <fgColor theme="8"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49998474074526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theme="4" tint="0.39994506668294322"/>
      </left>
      <right style="double">
        <color theme="4" tint="0.39994506668294322"/>
      </right>
      <top style="double">
        <color theme="4" tint="0.39994506668294322"/>
      </top>
      <bottom style="double">
        <color theme="4" tint="0.39994506668294322"/>
      </bottom>
      <diagonal/>
    </border>
    <border>
      <left style="double">
        <color theme="4" tint="0.39991454817346722"/>
      </left>
      <right style="double">
        <color theme="4" tint="0.39991454817346722"/>
      </right>
      <top style="double">
        <color theme="4" tint="0.39991454817346722"/>
      </top>
      <bottom style="double">
        <color theme="4" tint="0.39991454817346722"/>
      </bottom>
      <diagonal/>
    </border>
    <border>
      <left style="double">
        <color theme="4" tint="0.39991454817346722"/>
      </left>
      <right/>
      <top style="double">
        <color theme="4" tint="0.39991454817346722"/>
      </top>
      <bottom style="double">
        <color theme="4" tint="0.39991454817346722"/>
      </bottom>
      <diagonal/>
    </border>
    <border>
      <left/>
      <right/>
      <top style="double">
        <color theme="4" tint="0.39991454817346722"/>
      </top>
      <bottom style="double">
        <color theme="4" tint="0.39991454817346722"/>
      </bottom>
      <diagonal/>
    </border>
    <border>
      <left/>
      <right style="double">
        <color theme="4" tint="0.39991454817346722"/>
      </right>
      <top style="double">
        <color theme="4" tint="0.39991454817346722"/>
      </top>
      <bottom style="double">
        <color theme="4" tint="0.399914548173467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theme="4" tint="0.39991454817346722"/>
      </bottom>
      <diagonal/>
    </border>
    <border>
      <left style="double">
        <color theme="4" tint="0.39991454817346722"/>
      </left>
      <right style="double">
        <color theme="4" tint="0.39991454817346722"/>
      </right>
      <top style="double">
        <color theme="4" tint="0.39991454817346722"/>
      </top>
      <bottom/>
      <diagonal/>
    </border>
    <border>
      <left style="double">
        <color theme="4" tint="0.39991454817346722"/>
      </left>
      <right style="double">
        <color theme="4" tint="0.39991454817346722"/>
      </right>
      <top/>
      <bottom/>
      <diagonal/>
    </border>
    <border>
      <left style="double">
        <color theme="4" tint="0.39991454817346722"/>
      </left>
      <right style="double">
        <color theme="4" tint="0.39991454817346722"/>
      </right>
      <top/>
      <bottom style="double">
        <color theme="4" tint="0.39991454817346722"/>
      </bottom>
      <diagonal/>
    </border>
    <border>
      <left style="double">
        <color theme="4" tint="0.39994506668294322"/>
      </left>
      <right style="double">
        <color theme="4" tint="0.39994506668294322"/>
      </right>
      <top style="double">
        <color theme="4" tint="0.39994506668294322"/>
      </top>
      <bottom/>
      <diagonal/>
    </border>
    <border>
      <left style="double">
        <color theme="4" tint="0.39994506668294322"/>
      </left>
      <right style="double">
        <color theme="4" tint="0.39994506668294322"/>
      </right>
      <top/>
      <bottom/>
      <diagonal/>
    </border>
    <border>
      <left style="double">
        <color theme="4" tint="0.39994506668294322"/>
      </left>
      <right style="double">
        <color theme="4" tint="0.39994506668294322"/>
      </right>
      <top/>
      <bottom style="double">
        <color theme="4" tint="0.39994506668294322"/>
      </bottom>
      <diagonal/>
    </border>
    <border>
      <left style="double">
        <color theme="4" tint="0.39994506668294322"/>
      </left>
      <right/>
      <top style="double">
        <color theme="4" tint="0.39994506668294322"/>
      </top>
      <bottom style="double">
        <color theme="4" tint="0.39994506668294322"/>
      </bottom>
      <diagonal/>
    </border>
    <border>
      <left/>
      <right/>
      <top style="double">
        <color theme="4" tint="0.39994506668294322"/>
      </top>
      <bottom style="double">
        <color theme="4" tint="0.39994506668294322"/>
      </bottom>
      <diagonal/>
    </border>
    <border>
      <left/>
      <right style="double">
        <color theme="4" tint="0.39994506668294322"/>
      </right>
      <top style="double">
        <color theme="4" tint="0.39994506668294322"/>
      </top>
      <bottom style="double">
        <color theme="4" tint="0.39994506668294322"/>
      </bottom>
      <diagonal/>
    </border>
    <border>
      <left style="medium">
        <color theme="4" tint="-0.499984740745262"/>
      </left>
      <right/>
      <top style="medium">
        <color theme="4" tint="-0.499984740745262"/>
      </top>
      <bottom style="medium">
        <color theme="4" tint="-0.499984740745262"/>
      </bottom>
      <diagonal/>
    </border>
    <border>
      <left/>
      <right/>
      <top style="medium">
        <color theme="4" tint="-0.499984740745262"/>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right/>
      <top style="double">
        <color theme="4" tint="0.39991454817346722"/>
      </top>
      <bottom/>
      <diagonal/>
    </border>
    <border>
      <left/>
      <right style="double">
        <color theme="4" tint="0.39991454817346722"/>
      </right>
      <top style="double">
        <color theme="4" tint="0.39991454817346722"/>
      </top>
      <bottom/>
      <diagonal/>
    </border>
    <border>
      <left style="double">
        <color theme="4" tint="0.39991454817346722"/>
      </left>
      <right style="double">
        <color theme="4" tint="0.39988402966399123"/>
      </right>
      <top style="double">
        <color theme="4" tint="0.39991454817346722"/>
      </top>
      <bottom style="double">
        <color theme="4" tint="0.39991454817346722"/>
      </bottom>
      <diagonal/>
    </border>
    <border>
      <left style="double">
        <color theme="4" tint="0.39988402966399123"/>
      </left>
      <right style="double">
        <color theme="4" tint="0.39988402966399123"/>
      </right>
      <top/>
      <bottom/>
      <diagonal/>
    </border>
    <border>
      <left style="double">
        <color theme="4" tint="0.39988402966399123"/>
      </left>
      <right style="double">
        <color theme="4" tint="0.39988402966399123"/>
      </right>
      <top style="double">
        <color theme="4" tint="0.39991454817346722"/>
      </top>
      <bottom style="double">
        <color theme="4" tint="0.39988402966399123"/>
      </bottom>
      <diagonal/>
    </border>
    <border>
      <left style="double">
        <color theme="4" tint="0.39991454817346722"/>
      </left>
      <right/>
      <top style="double">
        <color theme="4" tint="0.39991454817346722"/>
      </top>
      <bottom/>
      <diagonal/>
    </border>
    <border>
      <left style="double">
        <color theme="4" tint="0.39991454817346722"/>
      </left>
      <right/>
      <top/>
      <bottom/>
      <diagonal/>
    </border>
    <border>
      <left/>
      <right style="double">
        <color theme="4" tint="0.39991454817346722"/>
      </right>
      <top/>
      <bottom/>
      <diagonal/>
    </border>
    <border>
      <left style="double">
        <color theme="4" tint="0.39991454817346722"/>
      </left>
      <right/>
      <top/>
      <bottom style="double">
        <color theme="4" tint="0.39991454817346722"/>
      </bottom>
      <diagonal/>
    </border>
    <border>
      <left/>
      <right style="double">
        <color theme="4" tint="0.39991454817346722"/>
      </right>
      <top/>
      <bottom style="double">
        <color theme="4" tint="0.39991454817346722"/>
      </bottom>
      <diagonal/>
    </border>
    <border>
      <left style="thick">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double">
        <color theme="4" tint="0.79998168889431442"/>
      </left>
      <right style="double">
        <color theme="4" tint="0.79998168889431442"/>
      </right>
      <top style="double">
        <color theme="4" tint="0.79998168889431442"/>
      </top>
      <bottom style="double">
        <color theme="4" tint="0.79998168889431442"/>
      </bottom>
      <diagonal/>
    </border>
    <border>
      <left style="double">
        <color theme="4" tint="-0.499984740745262"/>
      </left>
      <right style="double">
        <color theme="4" tint="-0.499984740745262"/>
      </right>
      <top style="double">
        <color theme="4" tint="-0.499984740745262"/>
      </top>
      <bottom style="double">
        <color theme="4" tint="-0.499984740745262"/>
      </bottom>
      <diagonal/>
    </border>
    <border>
      <left style="double">
        <color theme="4" tint="0.79998168889431442"/>
      </left>
      <right style="double">
        <color theme="4" tint="0.79998168889431442"/>
      </right>
      <top style="double">
        <color theme="4" tint="0.79998168889431442"/>
      </top>
      <bottom/>
      <diagonal/>
    </border>
    <border>
      <left/>
      <right/>
      <top style="thin">
        <color indexed="64"/>
      </top>
      <bottom/>
      <diagonal/>
    </border>
  </borders>
  <cellStyleXfs count="4">
    <xf numFmtId="0" fontId="0" fillId="0" borderId="0"/>
    <xf numFmtId="43" fontId="12" fillId="0" borderId="0" applyFont="0" applyFill="0" applyBorder="0" applyAlignment="0" applyProtection="0"/>
    <xf numFmtId="0" fontId="14" fillId="0" borderId="0" applyNumberFormat="0" applyFill="0" applyBorder="0" applyAlignment="0" applyProtection="0"/>
    <xf numFmtId="9" fontId="12" fillId="0" borderId="0" applyFont="0" applyFill="0" applyBorder="0" applyAlignment="0" applyProtection="0"/>
  </cellStyleXfs>
  <cellXfs count="207">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wrapText="1"/>
    </xf>
    <xf numFmtId="0" fontId="0" fillId="2" borderId="0" xfId="0" applyFill="1"/>
    <xf numFmtId="0" fontId="0" fillId="2" borderId="0" xfId="0" applyFill="1" applyAlignment="1">
      <alignment horizontal="center" vertical="center"/>
    </xf>
    <xf numFmtId="0" fontId="1" fillId="2" borderId="1" xfId="0" applyFont="1" applyFill="1" applyBorder="1" applyAlignment="1">
      <alignment horizontal="center" vertical="center"/>
    </xf>
    <xf numFmtId="0" fontId="0" fillId="2" borderId="1" xfId="0" applyFill="1" applyBorder="1" applyAlignment="1">
      <alignment horizontal="center" vertical="center"/>
    </xf>
    <xf numFmtId="165" fontId="0" fillId="2" borderId="0" xfId="0" applyNumberFormat="1" applyFill="1"/>
    <xf numFmtId="0" fontId="1" fillId="3" borderId="1" xfId="0" applyFont="1" applyFill="1" applyBorder="1" applyAlignment="1">
      <alignment horizontal="center" vertical="center"/>
    </xf>
    <xf numFmtId="0" fontId="0" fillId="3" borderId="1" xfId="0" applyFill="1" applyBorder="1" applyAlignment="1">
      <alignment horizontal="center" vertical="center"/>
    </xf>
    <xf numFmtId="0" fontId="0" fillId="2" borderId="0" xfId="0" applyFill="1" applyAlignment="1">
      <alignment horizontal="left" vertical="center"/>
    </xf>
    <xf numFmtId="0" fontId="0" fillId="2" borderId="0" xfId="0" applyFill="1" applyAlignment="1">
      <alignment horizontal="right" vertical="center"/>
    </xf>
    <xf numFmtId="0" fontId="0" fillId="2" borderId="7" xfId="0" applyFill="1" applyBorder="1" applyAlignment="1">
      <alignment horizontal="center" vertical="center"/>
    </xf>
    <xf numFmtId="0" fontId="0" fillId="2" borderId="7" xfId="0" applyFill="1" applyBorder="1" applyAlignment="1">
      <alignment horizontal="left" vertical="center" wrapText="1"/>
    </xf>
    <xf numFmtId="2" fontId="0" fillId="2" borderId="7" xfId="0" applyNumberFormat="1" applyFill="1" applyBorder="1" applyAlignment="1">
      <alignment horizontal="center" vertical="center"/>
    </xf>
    <xf numFmtId="164" fontId="0" fillId="2" borderId="7" xfId="0" applyNumberFormat="1" applyFill="1" applyBorder="1" applyAlignment="1">
      <alignment horizontal="center" vertical="center"/>
    </xf>
    <xf numFmtId="4" fontId="0" fillId="2" borderId="7" xfId="0" applyNumberFormat="1" applyFill="1" applyBorder="1" applyAlignment="1">
      <alignment horizontal="center" vertical="center"/>
    </xf>
    <xf numFmtId="165" fontId="0" fillId="2" borderId="7" xfId="0" applyNumberFormat="1" applyFill="1" applyBorder="1" applyAlignment="1">
      <alignment horizontal="right" vertical="center"/>
    </xf>
    <xf numFmtId="0" fontId="0" fillId="2" borderId="7" xfId="0" applyFill="1" applyBorder="1" applyAlignment="1">
      <alignment wrapText="1"/>
    </xf>
    <xf numFmtId="0" fontId="0" fillId="2" borderId="7" xfId="0" applyFill="1" applyBorder="1" applyAlignment="1">
      <alignment horizontal="left" vertical="center"/>
    </xf>
    <xf numFmtId="4" fontId="1" fillId="6" borderId="7" xfId="0" applyNumberFormat="1" applyFont="1" applyFill="1" applyBorder="1" applyAlignment="1">
      <alignment horizontal="center" vertical="center"/>
    </xf>
    <xf numFmtId="165" fontId="1" fillId="6" borderId="7" xfId="0" applyNumberFormat="1" applyFont="1" applyFill="1" applyBorder="1" applyAlignment="1">
      <alignment horizontal="right" vertical="center"/>
    </xf>
    <xf numFmtId="0" fontId="0" fillId="6" borderId="7" xfId="0" applyFill="1" applyBorder="1"/>
    <xf numFmtId="165" fontId="5" fillId="5" borderId="7" xfId="0" applyNumberFormat="1" applyFont="1" applyFill="1" applyBorder="1" applyAlignment="1">
      <alignment horizontal="right" vertical="center"/>
    </xf>
    <xf numFmtId="0" fontId="6" fillId="5" borderId="7" xfId="0" applyFont="1" applyFill="1" applyBorder="1"/>
    <xf numFmtId="0" fontId="5" fillId="7" borderId="7" xfId="0" applyFont="1" applyFill="1" applyBorder="1" applyAlignment="1">
      <alignment horizontal="center" vertical="center"/>
    </xf>
    <xf numFmtId="0" fontId="5" fillId="7" borderId="7" xfId="0" applyFont="1" applyFill="1" applyBorder="1" applyAlignment="1">
      <alignment horizontal="left" vertical="center"/>
    </xf>
    <xf numFmtId="0" fontId="3" fillId="5" borderId="1" xfId="0" applyFont="1" applyFill="1" applyBorder="1" applyAlignment="1">
      <alignment horizontal="center" vertical="center"/>
    </xf>
    <xf numFmtId="0" fontId="4" fillId="5" borderId="1" xfId="0" applyFont="1" applyFill="1" applyBorder="1" applyAlignment="1">
      <alignment horizontal="center" vertical="center"/>
    </xf>
    <xf numFmtId="0" fontId="8" fillId="2" borderId="0" xfId="0" applyFont="1" applyFill="1" applyAlignment="1">
      <alignment horizontal="center" vertical="center"/>
    </xf>
    <xf numFmtId="165" fontId="0" fillId="2" borderId="7" xfId="0" applyNumberFormat="1" applyFill="1" applyBorder="1" applyAlignment="1">
      <alignment horizontal="center" vertical="center"/>
    </xf>
    <xf numFmtId="0" fontId="3" fillId="5" borderId="7" xfId="0" applyFont="1" applyFill="1" applyBorder="1" applyAlignment="1">
      <alignment horizontal="center" vertical="center"/>
    </xf>
    <xf numFmtId="165" fontId="3" fillId="5" borderId="7" xfId="0" applyNumberFormat="1" applyFont="1" applyFill="1" applyBorder="1" applyAlignment="1">
      <alignment horizontal="center" vertical="center"/>
    </xf>
    <xf numFmtId="0" fontId="1" fillId="3" borderId="8" xfId="0" applyFont="1" applyFill="1" applyBorder="1" applyAlignment="1">
      <alignment horizontal="center" vertical="center"/>
    </xf>
    <xf numFmtId="0" fontId="3" fillId="5" borderId="8" xfId="0" applyFont="1" applyFill="1" applyBorder="1" applyAlignment="1">
      <alignment horizontal="center" vertical="center"/>
    </xf>
    <xf numFmtId="165" fontId="3" fillId="5" borderId="8" xfId="0" applyNumberFormat="1" applyFont="1" applyFill="1" applyBorder="1" applyAlignment="1">
      <alignment horizontal="center" vertical="center"/>
    </xf>
    <xf numFmtId="165" fontId="3" fillId="5" borderId="8" xfId="0" applyNumberFormat="1" applyFont="1" applyFill="1" applyBorder="1"/>
    <xf numFmtId="0" fontId="1" fillId="2" borderId="2" xfId="0" applyFont="1" applyFill="1" applyBorder="1" applyAlignment="1">
      <alignment horizontal="center" vertical="center"/>
    </xf>
    <xf numFmtId="165" fontId="1" fillId="4" borderId="7" xfId="0" applyNumberFormat="1" applyFont="1" applyFill="1" applyBorder="1" applyAlignment="1">
      <alignment horizontal="right" vertical="center"/>
    </xf>
    <xf numFmtId="165" fontId="0" fillId="0" borderId="1" xfId="1" applyNumberFormat="1" applyFont="1" applyBorder="1" applyAlignment="1">
      <alignment horizontal="center" vertical="center"/>
    </xf>
    <xf numFmtId="0" fontId="1" fillId="6" borderId="1" xfId="0" applyFont="1" applyFill="1" applyBorder="1" applyAlignment="1">
      <alignment horizontal="center" vertical="center"/>
    </xf>
    <xf numFmtId="165" fontId="3" fillId="5" borderId="1" xfId="1" applyNumberFormat="1" applyFont="1" applyFill="1" applyBorder="1" applyAlignment="1">
      <alignment horizontal="center" vertical="center"/>
    </xf>
    <xf numFmtId="0" fontId="1" fillId="3" borderId="8" xfId="0" applyFont="1" applyFill="1" applyBorder="1" applyAlignment="1">
      <alignment horizontal="center" vertical="center" wrapText="1"/>
    </xf>
    <xf numFmtId="166" fontId="1" fillId="0" borderId="0" xfId="1" applyNumberFormat="1" applyFont="1" applyAlignment="1">
      <alignment horizontal="left" vertical="center" wrapText="1"/>
    </xf>
    <xf numFmtId="166" fontId="1" fillId="0" borderId="0" xfId="1" applyNumberFormat="1" applyFont="1" applyAlignment="1">
      <alignment horizontal="center" vertical="center" wrapText="1"/>
    </xf>
    <xf numFmtId="0" fontId="1" fillId="3" borderId="8" xfId="0" applyFont="1" applyFill="1" applyBorder="1" applyAlignment="1">
      <alignment horizontal="left" vertical="center"/>
    </xf>
    <xf numFmtId="43" fontId="0" fillId="2" borderId="0" xfId="1" applyFont="1" applyFill="1"/>
    <xf numFmtId="166" fontId="0" fillId="2" borderId="0" xfId="1" applyNumberFormat="1" applyFont="1" applyFill="1"/>
    <xf numFmtId="165" fontId="0" fillId="2" borderId="7" xfId="0" applyNumberFormat="1" applyFill="1" applyBorder="1" applyAlignment="1">
      <alignment wrapText="1"/>
    </xf>
    <xf numFmtId="0" fontId="0" fillId="2" borderId="0" xfId="0" applyFill="1" applyAlignment="1">
      <alignment wrapText="1"/>
    </xf>
    <xf numFmtId="165" fontId="3" fillId="5" borderId="7" xfId="0" applyNumberFormat="1" applyFont="1" applyFill="1" applyBorder="1" applyAlignment="1">
      <alignment horizontal="center" vertical="center" wrapText="1"/>
    </xf>
    <xf numFmtId="0" fontId="0" fillId="2" borderId="7" xfId="0" applyFill="1" applyBorder="1" applyAlignment="1">
      <alignment vertical="center"/>
    </xf>
    <xf numFmtId="165" fontId="0" fillId="0" borderId="7" xfId="0" applyNumberFormat="1" applyBorder="1" applyAlignment="1">
      <alignment horizontal="center" vertical="center"/>
    </xf>
    <xf numFmtId="0" fontId="12" fillId="0" borderId="0" xfId="0" applyFont="1" applyAlignment="1">
      <alignment wrapText="1"/>
    </xf>
    <xf numFmtId="166" fontId="12" fillId="0" borderId="0" xfId="1" applyNumberFormat="1" applyFont="1" applyAlignment="1">
      <alignment horizontal="center" vertical="center" wrapText="1"/>
    </xf>
    <xf numFmtId="166" fontId="12" fillId="0" borderId="0" xfId="1" applyNumberFormat="1" applyFont="1" applyAlignment="1">
      <alignment wrapText="1"/>
    </xf>
    <xf numFmtId="166" fontId="12" fillId="0" borderId="0" xfId="1" applyNumberFormat="1" applyFont="1" applyAlignment="1">
      <alignment horizontal="left" vertical="center"/>
    </xf>
    <xf numFmtId="166" fontId="12" fillId="0" borderId="0" xfId="1" applyNumberFormat="1" applyFont="1" applyAlignment="1">
      <alignment horizontal="left" vertical="center" wrapText="1"/>
    </xf>
    <xf numFmtId="0" fontId="12" fillId="0" borderId="0" xfId="0" applyFont="1" applyAlignment="1">
      <alignment horizontal="center" vertical="center" wrapText="1"/>
    </xf>
    <xf numFmtId="166" fontId="12" fillId="0" borderId="0" xfId="1" applyNumberFormat="1" applyFont="1" applyAlignment="1">
      <alignment horizontal="left"/>
    </xf>
    <xf numFmtId="166" fontId="12" fillId="0" borderId="0" xfId="1" applyNumberFormat="1" applyFont="1" applyAlignment="1">
      <alignment horizontal="left" wrapText="1"/>
    </xf>
    <xf numFmtId="0" fontId="1" fillId="6" borderId="21" xfId="0" applyFont="1" applyFill="1" applyBorder="1" applyAlignment="1">
      <alignment horizontal="center" vertical="center"/>
    </xf>
    <xf numFmtId="0" fontId="1" fillId="6" borderId="21" xfId="0" applyFont="1" applyFill="1" applyBorder="1" applyAlignment="1">
      <alignment horizontal="center" vertical="center" wrapText="1"/>
    </xf>
    <xf numFmtId="0" fontId="1" fillId="2" borderId="7" xfId="0" applyFont="1" applyFill="1" applyBorder="1" applyAlignment="1">
      <alignment horizontal="left" vertical="center"/>
    </xf>
    <xf numFmtId="0" fontId="1" fillId="0" borderId="7" xfId="0" applyFont="1" applyBorder="1" applyAlignment="1">
      <alignment horizontal="left" vertical="center"/>
    </xf>
    <xf numFmtId="0" fontId="1" fillId="0" borderId="7" xfId="0" applyFont="1" applyBorder="1" applyAlignment="1">
      <alignment horizontal="left" vertical="center" wrapText="1"/>
    </xf>
    <xf numFmtId="0" fontId="0" fillId="2" borderId="7" xfId="0" applyFill="1" applyBorder="1" applyAlignment="1">
      <alignment vertical="center" wrapText="1"/>
    </xf>
    <xf numFmtId="0" fontId="0" fillId="2" borderId="19" xfId="0" applyFill="1" applyBorder="1" applyAlignment="1">
      <alignment vertical="center"/>
    </xf>
    <xf numFmtId="0" fontId="1" fillId="6" borderId="7" xfId="0" applyFont="1" applyFill="1" applyBorder="1" applyAlignment="1">
      <alignment horizontal="center" vertical="center"/>
    </xf>
    <xf numFmtId="0" fontId="1" fillId="2" borderId="8" xfId="0" applyFont="1" applyFill="1" applyBorder="1" applyAlignment="1">
      <alignment horizontal="left" vertical="center"/>
    </xf>
    <xf numFmtId="2" fontId="3" fillId="5" borderId="8" xfId="0" applyNumberFormat="1" applyFont="1" applyFill="1" applyBorder="1" applyAlignment="1">
      <alignment horizontal="center" vertical="center"/>
    </xf>
    <xf numFmtId="4" fontId="3" fillId="5" borderId="8" xfId="0" applyNumberFormat="1" applyFont="1" applyFill="1" applyBorder="1" applyAlignment="1">
      <alignment horizontal="center" vertical="center"/>
    </xf>
    <xf numFmtId="165" fontId="0" fillId="0" borderId="8" xfId="0" applyNumberFormat="1" applyBorder="1" applyAlignment="1">
      <alignment horizontal="center" vertical="center"/>
    </xf>
    <xf numFmtId="4" fontId="0" fillId="0" borderId="8" xfId="1" applyNumberFormat="1" applyFont="1" applyFill="1" applyBorder="1" applyAlignment="1">
      <alignment horizontal="center" vertical="center"/>
    </xf>
    <xf numFmtId="2" fontId="0" fillId="0" borderId="8" xfId="0" applyNumberFormat="1" applyBorder="1" applyAlignment="1">
      <alignment horizontal="center" vertical="center"/>
    </xf>
    <xf numFmtId="165" fontId="0" fillId="0" borderId="8" xfId="0" applyNumberFormat="1" applyBorder="1"/>
    <xf numFmtId="165" fontId="0" fillId="9" borderId="8" xfId="0" applyNumberFormat="1" applyFill="1" applyBorder="1" applyAlignment="1">
      <alignment horizontal="center" vertical="center"/>
    </xf>
    <xf numFmtId="4" fontId="0" fillId="9" borderId="8" xfId="0" applyNumberFormat="1" applyFill="1" applyBorder="1" applyAlignment="1">
      <alignment horizontal="center" vertical="center"/>
    </xf>
    <xf numFmtId="165" fontId="0" fillId="10" borderId="8" xfId="0" applyNumberFormat="1" applyFill="1" applyBorder="1" applyAlignment="1">
      <alignment horizontal="center" vertical="center"/>
    </xf>
    <xf numFmtId="4" fontId="0" fillId="10" borderId="8" xfId="0" applyNumberFormat="1" applyFill="1" applyBorder="1" applyAlignment="1">
      <alignment horizontal="center" vertical="center"/>
    </xf>
    <xf numFmtId="165" fontId="0" fillId="11" borderId="8" xfId="0" applyNumberFormat="1" applyFill="1" applyBorder="1" applyAlignment="1">
      <alignment horizontal="center" vertical="center"/>
    </xf>
    <xf numFmtId="4" fontId="0" fillId="11" borderId="8" xfId="0" applyNumberFormat="1" applyFill="1" applyBorder="1" applyAlignment="1">
      <alignment horizontal="center" vertical="center"/>
    </xf>
    <xf numFmtId="0" fontId="8" fillId="2" borderId="0" xfId="0" applyFont="1" applyFill="1" applyAlignment="1">
      <alignment horizontal="left" vertical="center"/>
    </xf>
    <xf numFmtId="165" fontId="0" fillId="2" borderId="0" xfId="0" applyNumberFormat="1" applyFill="1" applyAlignment="1">
      <alignment horizontal="center" vertical="center"/>
    </xf>
    <xf numFmtId="0" fontId="5" fillId="12" borderId="41" xfId="0" applyFont="1" applyFill="1" applyBorder="1" applyAlignment="1">
      <alignment horizontal="center" vertical="center" wrapText="1"/>
    </xf>
    <xf numFmtId="0" fontId="5" fillId="12" borderId="41" xfId="0" applyFont="1" applyFill="1" applyBorder="1" applyAlignment="1">
      <alignment horizontal="center" vertical="center"/>
    </xf>
    <xf numFmtId="0" fontId="0" fillId="2" borderId="41" xfId="0" applyFill="1" applyBorder="1" applyAlignment="1">
      <alignment horizontal="center" vertical="center"/>
    </xf>
    <xf numFmtId="4" fontId="0" fillId="2" borderId="41" xfId="0" applyNumberFormat="1" applyFill="1" applyBorder="1" applyAlignment="1">
      <alignment horizontal="center" vertical="center"/>
    </xf>
    <xf numFmtId="165" fontId="0" fillId="2" borderId="41" xfId="0" applyNumberFormat="1" applyFill="1" applyBorder="1" applyAlignment="1">
      <alignment horizontal="center" vertical="center"/>
    </xf>
    <xf numFmtId="0" fontId="0" fillId="2" borderId="41" xfId="0" applyFill="1" applyBorder="1" applyAlignment="1">
      <alignment horizontal="left" vertical="center" wrapText="1"/>
    </xf>
    <xf numFmtId="0" fontId="0" fillId="2" borderId="43" xfId="0" applyFill="1" applyBorder="1" applyAlignment="1">
      <alignment horizontal="center" vertical="center"/>
    </xf>
    <xf numFmtId="4" fontId="0" fillId="2" borderId="43" xfId="0" applyNumberFormat="1" applyFill="1" applyBorder="1" applyAlignment="1">
      <alignment horizontal="center" vertical="center"/>
    </xf>
    <xf numFmtId="165" fontId="0" fillId="2" borderId="43" xfId="0" applyNumberFormat="1" applyFill="1" applyBorder="1" applyAlignment="1">
      <alignment horizontal="center" vertical="center"/>
    </xf>
    <xf numFmtId="0" fontId="0" fillId="2" borderId="43" xfId="0" applyFill="1" applyBorder="1" applyAlignment="1">
      <alignment horizontal="left" vertical="center" wrapText="1"/>
    </xf>
    <xf numFmtId="0" fontId="1" fillId="3" borderId="42" xfId="0" applyFont="1" applyFill="1" applyBorder="1" applyAlignment="1">
      <alignment horizontal="center" vertical="center"/>
    </xf>
    <xf numFmtId="4" fontId="1" fillId="3" borderId="42" xfId="0" applyNumberFormat="1" applyFont="1" applyFill="1" applyBorder="1" applyAlignment="1">
      <alignment horizontal="center" vertical="center"/>
    </xf>
    <xf numFmtId="0" fontId="1" fillId="3" borderId="42" xfId="0" applyFont="1" applyFill="1" applyBorder="1" applyAlignment="1">
      <alignment horizontal="left" vertical="center" wrapText="1"/>
    </xf>
    <xf numFmtId="9" fontId="0" fillId="2" borderId="0" xfId="3" applyFont="1" applyFill="1"/>
    <xf numFmtId="165" fontId="0" fillId="2" borderId="8" xfId="0" applyNumberFormat="1" applyFill="1" applyBorder="1" applyAlignment="1">
      <alignment horizontal="center" vertical="center"/>
    </xf>
    <xf numFmtId="4" fontId="0" fillId="2" borderId="8" xfId="0" applyNumberFormat="1" applyFill="1" applyBorder="1" applyAlignment="1">
      <alignment horizontal="center" vertical="center"/>
    </xf>
    <xf numFmtId="0" fontId="17" fillId="3" borderId="8" xfId="0" applyFont="1" applyFill="1" applyBorder="1" applyAlignment="1">
      <alignment horizontal="center" vertical="center" wrapText="1"/>
    </xf>
    <xf numFmtId="0" fontId="17" fillId="3" borderId="8" xfId="0" applyFont="1" applyFill="1" applyBorder="1" applyAlignment="1">
      <alignment horizontal="left" vertical="center"/>
    </xf>
    <xf numFmtId="0" fontId="17" fillId="2" borderId="8" xfId="0" applyFont="1" applyFill="1" applyBorder="1" applyAlignment="1">
      <alignment horizontal="center" vertical="center"/>
    </xf>
    <xf numFmtId="166" fontId="18" fillId="0" borderId="28" xfId="1" applyNumberFormat="1" applyFont="1" applyBorder="1" applyAlignment="1">
      <alignment wrapText="1"/>
    </xf>
    <xf numFmtId="166" fontId="18" fillId="0" borderId="29" xfId="1" quotePrefix="1" applyNumberFormat="1" applyFont="1" applyBorder="1" applyAlignment="1">
      <alignment vertical="center" wrapText="1"/>
    </xf>
    <xf numFmtId="0" fontId="18" fillId="2" borderId="8" xfId="0" applyFont="1" applyFill="1" applyBorder="1" applyAlignment="1">
      <alignment horizontal="left" vertical="center" wrapText="1"/>
    </xf>
    <xf numFmtId="0" fontId="17" fillId="2" borderId="8" xfId="0" applyFont="1" applyFill="1" applyBorder="1" applyAlignment="1">
      <alignment horizontal="center" vertical="center" wrapText="1"/>
    </xf>
    <xf numFmtId="166" fontId="18" fillId="2" borderId="8" xfId="1" applyNumberFormat="1" applyFont="1" applyFill="1" applyBorder="1" applyAlignment="1">
      <alignment horizontal="center" vertical="center" wrapText="1"/>
    </xf>
    <xf numFmtId="166" fontId="17" fillId="2" borderId="8" xfId="1" applyNumberFormat="1" applyFont="1" applyFill="1" applyBorder="1" applyAlignment="1">
      <alignment horizontal="center" vertical="center"/>
    </xf>
    <xf numFmtId="0" fontId="18" fillId="2" borderId="16" xfId="0" applyFont="1" applyFill="1" applyBorder="1" applyAlignment="1">
      <alignment horizontal="left"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left" vertical="center" wrapText="1"/>
    </xf>
    <xf numFmtId="0" fontId="18" fillId="2" borderId="30" xfId="0" applyFont="1" applyFill="1" applyBorder="1" applyAlignment="1">
      <alignment horizontal="left" vertical="center" wrapText="1"/>
    </xf>
    <xf numFmtId="0" fontId="17" fillId="2" borderId="11" xfId="0" applyFont="1" applyFill="1" applyBorder="1" applyAlignment="1">
      <alignment horizontal="center" vertical="center"/>
    </xf>
    <xf numFmtId="0" fontId="18" fillId="2" borderId="31" xfId="0" applyFont="1" applyFill="1" applyBorder="1" applyAlignment="1">
      <alignment vertical="center" wrapText="1"/>
    </xf>
    <xf numFmtId="0" fontId="18" fillId="2" borderId="32" xfId="0" applyFont="1" applyFill="1" applyBorder="1" applyAlignment="1">
      <alignment horizontal="left" vertical="center" wrapText="1"/>
    </xf>
    <xf numFmtId="0" fontId="18" fillId="0" borderId="0" xfId="0" applyFont="1" applyAlignment="1">
      <alignment horizontal="center" vertical="center"/>
    </xf>
    <xf numFmtId="166" fontId="18" fillId="2" borderId="8" xfId="1" applyNumberFormat="1" applyFont="1" applyFill="1" applyBorder="1" applyAlignment="1">
      <alignment horizontal="left" vertical="center" wrapText="1"/>
    </xf>
    <xf numFmtId="0" fontId="18" fillId="2" borderId="18" xfId="0" applyFont="1" applyFill="1" applyBorder="1" applyAlignment="1">
      <alignment vertical="center" wrapText="1"/>
    </xf>
    <xf numFmtId="0" fontId="18" fillId="0" borderId="0" xfId="0" applyFont="1" applyAlignment="1">
      <alignment wrapText="1"/>
    </xf>
    <xf numFmtId="0" fontId="18" fillId="0" borderId="30" xfId="0" applyFont="1" applyBorder="1" applyAlignment="1">
      <alignment horizontal="left" vertical="center" wrapText="1"/>
    </xf>
    <xf numFmtId="165" fontId="17" fillId="2" borderId="8" xfId="1" applyNumberFormat="1" applyFont="1" applyFill="1" applyBorder="1" applyAlignment="1">
      <alignment horizontal="center" vertical="center"/>
    </xf>
    <xf numFmtId="165" fontId="17" fillId="2" borderId="8" xfId="1" applyNumberFormat="1" applyFont="1" applyFill="1" applyBorder="1" applyAlignment="1">
      <alignment horizontal="center" vertical="center" wrapText="1"/>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0" fillId="2" borderId="25" xfId="0" applyFill="1" applyBorder="1" applyAlignment="1">
      <alignment horizontal="left" vertical="center" wrapText="1"/>
    </xf>
    <xf numFmtId="0" fontId="0" fillId="2" borderId="26" xfId="0" applyFill="1" applyBorder="1" applyAlignment="1">
      <alignment horizontal="left" vertical="center"/>
    </xf>
    <xf numFmtId="0" fontId="0" fillId="2" borderId="27" xfId="0" applyFill="1" applyBorder="1" applyAlignment="1">
      <alignment horizontal="left" vertical="center"/>
    </xf>
    <xf numFmtId="165" fontId="0" fillId="0" borderId="19" xfId="0" applyNumberFormat="1" applyBorder="1" applyAlignment="1">
      <alignment horizontal="center" vertical="center"/>
    </xf>
    <xf numFmtId="165" fontId="0" fillId="0" borderId="21" xfId="0" applyNumberFormat="1" applyBorder="1" applyAlignment="1">
      <alignment horizontal="center" vertical="center"/>
    </xf>
    <xf numFmtId="0" fontId="9" fillId="2" borderId="0" xfId="0" applyFont="1" applyFill="1" applyAlignment="1">
      <alignment horizontal="left" vertical="center"/>
    </xf>
    <xf numFmtId="0" fontId="11" fillId="2" borderId="0" xfId="0" applyFont="1" applyFill="1" applyAlignment="1">
      <alignment horizontal="left" vertical="center"/>
    </xf>
    <xf numFmtId="0" fontId="7" fillId="8" borderId="38" xfId="0" applyFont="1" applyFill="1" applyBorder="1" applyAlignment="1">
      <alignment horizontal="center" vertical="center"/>
    </xf>
    <xf numFmtId="0" fontId="7" fillId="8" borderId="39" xfId="0" applyFont="1" applyFill="1" applyBorder="1" applyAlignment="1">
      <alignment horizontal="center" vertical="center"/>
    </xf>
    <xf numFmtId="0" fontId="7" fillId="8" borderId="40" xfId="0" applyFont="1" applyFill="1" applyBorder="1" applyAlignment="1">
      <alignment horizontal="center" vertical="center"/>
    </xf>
    <xf numFmtId="165" fontId="0" fillId="0" borderId="19" xfId="0" applyNumberFormat="1" applyBorder="1" applyAlignment="1">
      <alignment horizontal="left" vertical="center" wrapText="1"/>
    </xf>
    <xf numFmtId="165" fontId="0" fillId="0" borderId="20" xfId="0" applyNumberFormat="1" applyBorder="1" applyAlignment="1">
      <alignment horizontal="left" vertical="center" wrapText="1"/>
    </xf>
    <xf numFmtId="165" fontId="0" fillId="0" borderId="21" xfId="0" applyNumberFormat="1" applyBorder="1" applyAlignment="1">
      <alignment horizontal="left" vertical="center" wrapText="1"/>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6" fillId="8" borderId="9" xfId="0" applyFont="1" applyFill="1" applyBorder="1" applyAlignment="1">
      <alignment horizontal="center" vertical="center"/>
    </xf>
    <xf numFmtId="0" fontId="16" fillId="8" borderId="10" xfId="0" applyFont="1" applyFill="1" applyBorder="1" applyAlignment="1">
      <alignment horizontal="center" vertical="center"/>
    </xf>
    <xf numFmtId="0" fontId="16" fillId="8" borderId="11" xfId="0" applyFont="1" applyFill="1" applyBorder="1" applyAlignment="1">
      <alignment horizontal="center" vertical="center"/>
    </xf>
    <xf numFmtId="166" fontId="19" fillId="5" borderId="0" xfId="1" applyNumberFormat="1" applyFont="1" applyFill="1" applyAlignment="1">
      <alignment horizontal="center" vertical="center" wrapText="1"/>
    </xf>
    <xf numFmtId="0" fontId="17" fillId="2" borderId="16"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18" fillId="2" borderId="16"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16" xfId="0" quotePrefix="1"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166" fontId="17" fillId="2" borderId="33" xfId="1" applyNumberFormat="1" applyFont="1" applyFill="1" applyBorder="1" applyAlignment="1">
      <alignment horizontal="center" vertical="center"/>
    </xf>
    <xf numFmtId="166" fontId="17" fillId="2" borderId="28" xfId="1" applyNumberFormat="1" applyFont="1" applyFill="1" applyBorder="1" applyAlignment="1">
      <alignment horizontal="center" vertical="center"/>
    </xf>
    <xf numFmtId="166" fontId="17" fillId="2" borderId="29" xfId="1" applyNumberFormat="1" applyFont="1" applyFill="1" applyBorder="1" applyAlignment="1">
      <alignment horizontal="center" vertical="center"/>
    </xf>
    <xf numFmtId="166" fontId="17" fillId="2" borderId="34" xfId="1" applyNumberFormat="1" applyFont="1" applyFill="1" applyBorder="1" applyAlignment="1">
      <alignment horizontal="center" vertical="center"/>
    </xf>
    <xf numFmtId="166" fontId="17" fillId="2" borderId="0" xfId="1" applyNumberFormat="1" applyFont="1" applyFill="1" applyBorder="1" applyAlignment="1">
      <alignment horizontal="center" vertical="center"/>
    </xf>
    <xf numFmtId="166" fontId="17" fillId="2" borderId="35" xfId="1" applyNumberFormat="1" applyFont="1" applyFill="1" applyBorder="1" applyAlignment="1">
      <alignment horizontal="center" vertical="center"/>
    </xf>
    <xf numFmtId="166" fontId="17" fillId="2" borderId="36" xfId="1" applyNumberFormat="1" applyFont="1" applyFill="1" applyBorder="1" applyAlignment="1">
      <alignment horizontal="center" vertical="center"/>
    </xf>
    <xf numFmtId="166" fontId="17" fillId="2" borderId="15" xfId="1" applyNumberFormat="1" applyFont="1" applyFill="1" applyBorder="1" applyAlignment="1">
      <alignment horizontal="center" vertical="center"/>
    </xf>
    <xf numFmtId="166" fontId="17" fillId="2" borderId="37" xfId="1" applyNumberFormat="1" applyFont="1" applyFill="1" applyBorder="1" applyAlignment="1">
      <alignment horizontal="center" vertical="center"/>
    </xf>
    <xf numFmtId="166" fontId="17" fillId="2" borderId="16" xfId="1" applyNumberFormat="1" applyFont="1" applyFill="1" applyBorder="1" applyAlignment="1">
      <alignment horizontal="center" vertical="center"/>
    </xf>
    <xf numFmtId="166" fontId="17" fillId="2" borderId="17" xfId="1" applyNumberFormat="1" applyFont="1" applyFill="1" applyBorder="1" applyAlignment="1">
      <alignment horizontal="center" vertical="center"/>
    </xf>
    <xf numFmtId="166" fontId="17" fillId="2" borderId="18" xfId="1" applyNumberFormat="1" applyFont="1" applyFill="1" applyBorder="1" applyAlignment="1">
      <alignment horizontal="center" vertical="center"/>
    </xf>
    <xf numFmtId="0" fontId="10" fillId="8" borderId="34" xfId="0" applyFont="1" applyFill="1" applyBorder="1" applyAlignment="1">
      <alignment horizontal="center" vertical="center"/>
    </xf>
    <xf numFmtId="0" fontId="10" fillId="8" borderId="0" xfId="0" applyFont="1" applyFill="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43" fontId="0" fillId="0" borderId="1" xfId="1"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165" fontId="1" fillId="4" borderId="19" xfId="0" applyNumberFormat="1" applyFont="1" applyFill="1" applyBorder="1" applyAlignment="1">
      <alignment horizontal="center" vertical="center"/>
    </xf>
    <xf numFmtId="165" fontId="1" fillId="4" borderId="20" xfId="0" applyNumberFormat="1" applyFont="1" applyFill="1" applyBorder="1" applyAlignment="1">
      <alignment horizontal="center" vertical="center"/>
    </xf>
    <xf numFmtId="165" fontId="1" fillId="4" borderId="21" xfId="0" applyNumberFormat="1" applyFont="1" applyFill="1" applyBorder="1" applyAlignment="1">
      <alignment horizontal="center" vertical="center"/>
    </xf>
    <xf numFmtId="0" fontId="5" fillId="5" borderId="7" xfId="0" applyFont="1" applyFill="1" applyBorder="1" applyAlignment="1">
      <alignment horizontal="center" vertical="center"/>
    </xf>
    <xf numFmtId="0" fontId="8" fillId="2" borderId="0" xfId="0" applyFont="1" applyFill="1" applyAlignment="1">
      <alignment horizontal="left" vertical="center"/>
    </xf>
    <xf numFmtId="0" fontId="0" fillId="2" borderId="7" xfId="0" applyFill="1" applyBorder="1" applyAlignment="1">
      <alignment horizontal="center" vertical="center"/>
    </xf>
    <xf numFmtId="0" fontId="1" fillId="6" borderId="7" xfId="0" applyFont="1" applyFill="1" applyBorder="1" applyAlignment="1">
      <alignment horizontal="center" vertical="center"/>
    </xf>
    <xf numFmtId="0" fontId="0" fillId="2" borderId="19" xfId="0" applyFill="1" applyBorder="1" applyAlignment="1">
      <alignment vertical="center"/>
    </xf>
    <xf numFmtId="0" fontId="0" fillId="2" borderId="21" xfId="0" applyFill="1" applyBorder="1" applyAlignment="1">
      <alignment vertical="center"/>
    </xf>
    <xf numFmtId="0" fontId="0" fillId="2" borderId="19" xfId="0" applyFill="1" applyBorder="1" applyAlignment="1">
      <alignment horizontal="left" vertical="center" wrapText="1"/>
    </xf>
    <xf numFmtId="0" fontId="0" fillId="2" borderId="20" xfId="0" applyFill="1" applyBorder="1" applyAlignment="1">
      <alignment horizontal="left" vertical="center" wrapText="1"/>
    </xf>
    <xf numFmtId="0" fontId="0" fillId="2" borderId="21" xfId="0" applyFill="1" applyBorder="1" applyAlignment="1">
      <alignment horizontal="left"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0" fillId="8" borderId="12" xfId="0" applyFont="1" applyFill="1" applyBorder="1" applyAlignment="1">
      <alignment horizontal="center" vertical="center"/>
    </xf>
    <xf numFmtId="0" fontId="20" fillId="8" borderId="13" xfId="0" applyFont="1" applyFill="1" applyBorder="1" applyAlignment="1">
      <alignment horizontal="center" vertical="center"/>
    </xf>
    <xf numFmtId="0" fontId="20" fillId="8" borderId="14" xfId="0" applyFont="1" applyFill="1" applyBorder="1" applyAlignment="1">
      <alignment horizontal="center" vertical="center"/>
    </xf>
    <xf numFmtId="0" fontId="14" fillId="2" borderId="16" xfId="2" applyFill="1" applyBorder="1" applyAlignment="1">
      <alignment vertical="center"/>
    </xf>
    <xf numFmtId="0" fontId="0" fillId="0" borderId="44" xfId="0" applyBorder="1" applyAlignment="1">
      <alignment horizontal="center" vertic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png"/><Relationship Id="rId4" Type="http://schemas.openxmlformats.org/officeDocument/2006/relationships/image" Target="../media/image4.tmp"/></Relationships>
</file>

<file path=xl/drawings/_rels/drawing2.xml.rels><?xml version="1.0" encoding="UTF-8" standalone="yes"?>
<Relationships xmlns="http://schemas.openxmlformats.org/package/2006/relationships"><Relationship Id="rId1" Type="http://schemas.openxmlformats.org/officeDocument/2006/relationships/image" Target="../media/image5.tmp"/></Relationships>
</file>

<file path=xl/drawings/_rels/drawing3.xml.rels><?xml version="1.0" encoding="UTF-8" standalone="yes"?>
<Relationships xmlns="http://schemas.openxmlformats.org/package/2006/relationships"><Relationship Id="rId1" Type="http://schemas.openxmlformats.org/officeDocument/2006/relationships/image" Target="../media/image5.tmp"/></Relationships>
</file>

<file path=xl/drawings/drawing1.xml><?xml version="1.0" encoding="utf-8"?>
<xdr:wsDr xmlns:xdr="http://schemas.openxmlformats.org/drawingml/2006/spreadsheetDrawing" xmlns:a="http://schemas.openxmlformats.org/drawingml/2006/main">
  <xdr:twoCellAnchor editAs="oneCell">
    <xdr:from>
      <xdr:col>20</xdr:col>
      <xdr:colOff>277091</xdr:colOff>
      <xdr:row>2</xdr:row>
      <xdr:rowOff>43842</xdr:rowOff>
    </xdr:from>
    <xdr:to>
      <xdr:col>27</xdr:col>
      <xdr:colOff>76294</xdr:colOff>
      <xdr:row>3</xdr:row>
      <xdr:rowOff>326449</xdr:rowOff>
    </xdr:to>
    <xdr:pic>
      <xdr:nvPicPr>
        <xdr:cNvPr id="2" name="Picture 1" descr="Screen Clipping">
          <a:extLst>
            <a:ext uri="{FF2B5EF4-FFF2-40B4-BE49-F238E27FC236}">
              <a16:creationId xmlns:a16="http://schemas.microsoft.com/office/drawing/2014/main" id="{6C3C6A87-125D-4707-9F26-E4E02771578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881"/>
        <a:stretch/>
      </xdr:blipFill>
      <xdr:spPr>
        <a:xfrm>
          <a:off x="22790727" y="1550524"/>
          <a:ext cx="4042157" cy="1183152"/>
        </a:xfrm>
        <a:prstGeom prst="rect">
          <a:avLst/>
        </a:prstGeom>
        <a:ln>
          <a:noFill/>
        </a:ln>
      </xdr:spPr>
    </xdr:pic>
    <xdr:clientData/>
  </xdr:twoCellAnchor>
  <xdr:twoCellAnchor editAs="oneCell">
    <xdr:from>
      <xdr:col>19</xdr:col>
      <xdr:colOff>207819</xdr:colOff>
      <xdr:row>10</xdr:row>
      <xdr:rowOff>48484</xdr:rowOff>
    </xdr:from>
    <xdr:to>
      <xdr:col>25</xdr:col>
      <xdr:colOff>334613</xdr:colOff>
      <xdr:row>12</xdr:row>
      <xdr:rowOff>1593148</xdr:rowOff>
    </xdr:to>
    <xdr:pic>
      <xdr:nvPicPr>
        <xdr:cNvPr id="3" name="Picture 2" descr="Screen Clipping">
          <a:extLst>
            <a:ext uri="{FF2B5EF4-FFF2-40B4-BE49-F238E27FC236}">
              <a16:creationId xmlns:a16="http://schemas.microsoft.com/office/drawing/2014/main" id="{7F2C935C-6E71-4B83-AC5E-188B5A49021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149955" y="6421575"/>
          <a:ext cx="3884839" cy="4523391"/>
        </a:xfrm>
        <a:prstGeom prst="rect">
          <a:avLst/>
        </a:prstGeom>
      </xdr:spPr>
    </xdr:pic>
    <xdr:clientData/>
  </xdr:twoCellAnchor>
  <xdr:twoCellAnchor editAs="oneCell">
    <xdr:from>
      <xdr:col>19</xdr:col>
      <xdr:colOff>207819</xdr:colOff>
      <xdr:row>14</xdr:row>
      <xdr:rowOff>2097712</xdr:rowOff>
    </xdr:from>
    <xdr:to>
      <xdr:col>25</xdr:col>
      <xdr:colOff>427862</xdr:colOff>
      <xdr:row>22</xdr:row>
      <xdr:rowOff>15859</xdr:rowOff>
    </xdr:to>
    <xdr:pic>
      <xdr:nvPicPr>
        <xdr:cNvPr id="4" name="Picture 3" descr="Screen Clipping">
          <a:extLst>
            <a:ext uri="{FF2B5EF4-FFF2-40B4-BE49-F238E27FC236}">
              <a16:creationId xmlns:a16="http://schemas.microsoft.com/office/drawing/2014/main" id="{D6E5D717-34DF-4CD5-8EE0-0BE92587DF8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149955" y="11016576"/>
          <a:ext cx="3978088" cy="4545815"/>
        </a:xfrm>
        <a:prstGeom prst="rect">
          <a:avLst/>
        </a:prstGeom>
      </xdr:spPr>
    </xdr:pic>
    <xdr:clientData/>
  </xdr:twoCellAnchor>
  <xdr:twoCellAnchor editAs="oneCell">
    <xdr:from>
      <xdr:col>19</xdr:col>
      <xdr:colOff>207819</xdr:colOff>
      <xdr:row>14</xdr:row>
      <xdr:rowOff>346363</xdr:rowOff>
    </xdr:from>
    <xdr:to>
      <xdr:col>25</xdr:col>
      <xdr:colOff>372712</xdr:colOff>
      <xdr:row>17</xdr:row>
      <xdr:rowOff>739238</xdr:rowOff>
    </xdr:to>
    <xdr:pic>
      <xdr:nvPicPr>
        <xdr:cNvPr id="6" name="Picture 5" descr="Screen Clipping">
          <a:extLst>
            <a:ext uri="{FF2B5EF4-FFF2-40B4-BE49-F238E27FC236}">
              <a16:creationId xmlns:a16="http://schemas.microsoft.com/office/drawing/2014/main" id="{6FEADCA8-4708-422C-B0B6-3CE0D9106B7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2149955" y="9265227"/>
          <a:ext cx="3922938" cy="3977739"/>
        </a:xfrm>
        <a:prstGeom prst="rect">
          <a:avLst/>
        </a:prstGeom>
      </xdr:spPr>
    </xdr:pic>
    <xdr:clientData/>
  </xdr:twoCellAnchor>
  <xdr:twoCellAnchor editAs="oneCell">
    <xdr:from>
      <xdr:col>19</xdr:col>
      <xdr:colOff>242454</xdr:colOff>
      <xdr:row>17</xdr:row>
      <xdr:rowOff>445324</xdr:rowOff>
    </xdr:from>
    <xdr:to>
      <xdr:col>25</xdr:col>
      <xdr:colOff>539338</xdr:colOff>
      <xdr:row>26</xdr:row>
      <xdr:rowOff>8659</xdr:rowOff>
    </xdr:to>
    <xdr:pic>
      <xdr:nvPicPr>
        <xdr:cNvPr id="7" name="Picture 6">
          <a:extLst>
            <a:ext uri="{FF2B5EF4-FFF2-40B4-BE49-F238E27FC236}">
              <a16:creationId xmlns:a16="http://schemas.microsoft.com/office/drawing/2014/main" id="{1B4141BC-212A-4A39-A8C0-ED30282DDFA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2184590" y="16343415"/>
          <a:ext cx="4054929" cy="2490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152400</xdr:colOff>
      <xdr:row>29</xdr:row>
      <xdr:rowOff>104775</xdr:rowOff>
    </xdr:from>
    <xdr:to>
      <xdr:col>12</xdr:col>
      <xdr:colOff>747362</xdr:colOff>
      <xdr:row>63</xdr:row>
      <xdr:rowOff>889</xdr:rowOff>
    </xdr:to>
    <xdr:pic>
      <xdr:nvPicPr>
        <xdr:cNvPr id="3" name="Picture 2">
          <a:extLst>
            <a:ext uri="{FF2B5EF4-FFF2-40B4-BE49-F238E27FC236}">
              <a16:creationId xmlns:a16="http://schemas.microsoft.com/office/drawing/2014/main" id="{8540775F-9611-6D49-8E43-E75E4C78CF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10477500"/>
          <a:ext cx="11520137" cy="6373114"/>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152400</xdr:colOff>
      <xdr:row>29</xdr:row>
      <xdr:rowOff>104775</xdr:rowOff>
    </xdr:from>
    <xdr:to>
      <xdr:col>12</xdr:col>
      <xdr:colOff>937862</xdr:colOff>
      <xdr:row>63</xdr:row>
      <xdr:rowOff>889</xdr:rowOff>
    </xdr:to>
    <xdr:pic>
      <xdr:nvPicPr>
        <xdr:cNvPr id="2" name="Picture 1">
          <a:extLst>
            <a:ext uri="{FF2B5EF4-FFF2-40B4-BE49-F238E27FC236}">
              <a16:creationId xmlns:a16="http://schemas.microsoft.com/office/drawing/2014/main" id="{B2D71207-3D77-4D49-B340-AFA0BAEF40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12668250"/>
          <a:ext cx="11520137" cy="6373114"/>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hennecke.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B2:G16"/>
  <sheetViews>
    <sheetView tabSelected="1" topLeftCell="A5" zoomScale="85" zoomScaleNormal="85" workbookViewId="0">
      <selection activeCell="D11" sqref="D11"/>
    </sheetView>
  </sheetViews>
  <sheetFormatPr defaultRowHeight="17.45" customHeight="1" x14ac:dyDescent="0.25"/>
  <cols>
    <col min="1" max="1" width="2" style="6" customWidth="1"/>
    <col min="2" max="2" width="20.85546875" style="7" customWidth="1"/>
    <col min="3" max="3" width="17.5703125" style="7" bestFit="1" customWidth="1"/>
    <col min="4" max="4" width="16" style="6" bestFit="1" customWidth="1"/>
    <col min="5" max="5" width="14.140625" style="6" bestFit="1" customWidth="1"/>
    <col min="6" max="6" width="42" style="52" customWidth="1"/>
    <col min="7" max="7" width="9.7109375" style="6" bestFit="1" customWidth="1"/>
    <col min="8" max="16384" width="9.140625" style="6"/>
  </cols>
  <sheetData>
    <row r="2" spans="2:7" ht="23.25" x14ac:dyDescent="0.25">
      <c r="B2" s="134" t="s">
        <v>106</v>
      </c>
      <c r="C2" s="135"/>
      <c r="D2" s="135"/>
      <c r="E2" s="135"/>
    </row>
    <row r="3" spans="2:7" ht="17.45" customHeight="1" thickBot="1" x14ac:dyDescent="0.3"/>
    <row r="4" spans="2:7" ht="20.25" thickTop="1" thickBot="1" x14ac:dyDescent="0.3">
      <c r="B4" s="136" t="s">
        <v>120</v>
      </c>
      <c r="C4" s="137"/>
      <c r="D4" s="137"/>
      <c r="E4" s="137"/>
      <c r="F4" s="138"/>
    </row>
    <row r="5" spans="2:7" ht="46.5" thickTop="1" thickBot="1" x14ac:dyDescent="0.3">
      <c r="B5" s="64" t="s">
        <v>104</v>
      </c>
      <c r="C5" s="65" t="s">
        <v>146</v>
      </c>
      <c r="D5" s="65" t="s">
        <v>147</v>
      </c>
      <c r="E5" s="64" t="s">
        <v>92</v>
      </c>
      <c r="F5" s="65" t="s">
        <v>117</v>
      </c>
    </row>
    <row r="6" spans="2:7" ht="61.5" thickTop="1" thickBot="1" x14ac:dyDescent="0.3">
      <c r="B6" s="66" t="s">
        <v>61</v>
      </c>
      <c r="C6" s="33">
        <v>159446850</v>
      </c>
      <c r="D6" s="33">
        <v>159446850</v>
      </c>
      <c r="E6" s="33">
        <f>D6-C6</f>
        <v>0</v>
      </c>
      <c r="F6" s="51" t="s">
        <v>118</v>
      </c>
    </row>
    <row r="7" spans="2:7" ht="24" customHeight="1" thickTop="1" thickBot="1" x14ac:dyDescent="0.3">
      <c r="B7" s="67" t="s">
        <v>62</v>
      </c>
      <c r="C7" s="55">
        <v>62568000</v>
      </c>
      <c r="D7" s="55">
        <v>62568000</v>
      </c>
      <c r="E7" s="55">
        <f>D7-C7</f>
        <v>0</v>
      </c>
      <c r="F7" s="139" t="s">
        <v>119</v>
      </c>
    </row>
    <row r="8" spans="2:7" ht="24" customHeight="1" thickTop="1" thickBot="1" x14ac:dyDescent="0.3">
      <c r="B8" s="67" t="s">
        <v>18</v>
      </c>
      <c r="C8" s="55">
        <f>Road!C6</f>
        <v>2001600</v>
      </c>
      <c r="D8" s="132">
        <f>D7*4%</f>
        <v>2502720</v>
      </c>
      <c r="E8" s="132">
        <f>D8-C8-C9</f>
        <v>-498880</v>
      </c>
      <c r="F8" s="140"/>
    </row>
    <row r="9" spans="2:7" ht="24" customHeight="1" thickTop="1" thickBot="1" x14ac:dyDescent="0.3">
      <c r="B9" s="67" t="s">
        <v>19</v>
      </c>
      <c r="C9" s="55">
        <f>Parking!C6</f>
        <v>1000000</v>
      </c>
      <c r="D9" s="133"/>
      <c r="E9" s="133"/>
      <c r="F9" s="140"/>
    </row>
    <row r="10" spans="2:7" ht="31.5" thickTop="1" thickBot="1" x14ac:dyDescent="0.3">
      <c r="B10" s="68" t="s">
        <v>63</v>
      </c>
      <c r="C10" s="55">
        <f>'Compound Wall'!C8</f>
        <v>4600000</v>
      </c>
      <c r="D10" s="55">
        <v>4500000</v>
      </c>
      <c r="E10" s="55">
        <f>D10-C10</f>
        <v>-100000</v>
      </c>
      <c r="F10" s="141"/>
      <c r="G10" s="10">
        <f>D10/900</f>
        <v>5000</v>
      </c>
    </row>
    <row r="11" spans="2:7" ht="136.5" thickTop="1" thickBot="1" x14ac:dyDescent="0.3">
      <c r="B11" s="66" t="s">
        <v>64</v>
      </c>
      <c r="C11" s="33">
        <f>'Electrical Work'!C11</f>
        <v>8750000</v>
      </c>
      <c r="D11" s="33">
        <f>D7*13%</f>
        <v>8133840</v>
      </c>
      <c r="E11" s="33">
        <f>D11-C11</f>
        <v>-616160</v>
      </c>
      <c r="F11" s="51" t="s">
        <v>189</v>
      </c>
      <c r="G11" s="6">
        <f>D11/D7</f>
        <v>0.13</v>
      </c>
    </row>
    <row r="12" spans="2:7" ht="91.5" thickTop="1" thickBot="1" x14ac:dyDescent="0.3">
      <c r="B12" s="66" t="s">
        <v>65</v>
      </c>
      <c r="C12" s="33">
        <f>'Office Setup'!C9</f>
        <v>3000000</v>
      </c>
      <c r="D12" s="33">
        <v>3000000</v>
      </c>
      <c r="E12" s="33">
        <f>D12-C12</f>
        <v>0</v>
      </c>
      <c r="F12" s="51" t="s">
        <v>156</v>
      </c>
    </row>
    <row r="13" spans="2:7" ht="17.45" customHeight="1" thickTop="1" thickBot="1" x14ac:dyDescent="0.3">
      <c r="B13" s="126"/>
      <c r="C13" s="127"/>
      <c r="D13" s="127"/>
      <c r="E13" s="127"/>
      <c r="F13" s="128"/>
    </row>
    <row r="14" spans="2:7" ht="17.45" customHeight="1" thickTop="1" thickBot="1" x14ac:dyDescent="0.3">
      <c r="B14" s="34" t="s">
        <v>14</v>
      </c>
      <c r="C14" s="35">
        <f>SUM(C6:C13)</f>
        <v>241366450</v>
      </c>
      <c r="D14" s="35">
        <f>SUM(D6:D13)</f>
        <v>240151410</v>
      </c>
      <c r="E14" s="35">
        <f>SUM(E6:E13)</f>
        <v>-1215040</v>
      </c>
      <c r="F14" s="53"/>
      <c r="G14" s="100"/>
    </row>
    <row r="15" spans="2:7" ht="17.45" customHeight="1" thickTop="1" thickBot="1" x14ac:dyDescent="0.3"/>
    <row r="16" spans="2:7" ht="334.5" customHeight="1" thickBot="1" x14ac:dyDescent="0.3">
      <c r="B16" s="129" t="s">
        <v>157</v>
      </c>
      <c r="C16" s="130"/>
      <c r="D16" s="130"/>
      <c r="E16" s="130"/>
      <c r="F16" s="131"/>
    </row>
  </sheetData>
  <mergeCells count="7">
    <mergeCell ref="B13:F13"/>
    <mergeCell ref="B16:F16"/>
    <mergeCell ref="D8:D9"/>
    <mergeCell ref="E8:E9"/>
    <mergeCell ref="B2:E2"/>
    <mergeCell ref="B4:F4"/>
    <mergeCell ref="F7:F10"/>
  </mergeCells>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249977111117893"/>
  </sheetPr>
  <dimension ref="B2:R27"/>
  <sheetViews>
    <sheetView zoomScale="70" zoomScaleNormal="70" workbookViewId="0">
      <selection activeCell="J12" sqref="J12"/>
    </sheetView>
  </sheetViews>
  <sheetFormatPr defaultRowHeight="15" x14ac:dyDescent="0.25"/>
  <cols>
    <col min="1" max="1" width="2" style="6" customWidth="1"/>
    <col min="2" max="2" width="7.5703125" style="7" bestFit="1" customWidth="1"/>
    <col min="3" max="3" width="17" style="6" bestFit="1" customWidth="1"/>
    <col min="4" max="4" width="22" style="6" customWidth="1"/>
    <col min="5" max="5" width="26.7109375" style="13" bestFit="1" customWidth="1"/>
    <col min="6" max="6" width="11.7109375" style="6" bestFit="1" customWidth="1"/>
    <col min="7" max="7" width="11" style="6" customWidth="1"/>
    <col min="8" max="8" width="11.42578125" style="6" bestFit="1" customWidth="1"/>
    <col min="9" max="9" width="14.7109375" style="6" bestFit="1" customWidth="1"/>
    <col min="10" max="10" width="15.5703125" style="6" bestFit="1" customWidth="1"/>
    <col min="11" max="11" width="13.5703125" style="6" bestFit="1" customWidth="1"/>
    <col min="12" max="12" width="9.7109375" style="14" bestFit="1" customWidth="1"/>
    <col min="13" max="13" width="17.5703125" style="14" bestFit="1" customWidth="1"/>
    <col min="14" max="14" width="21.42578125" style="6" bestFit="1" customWidth="1"/>
    <col min="15" max="15" width="17.5703125" style="6" bestFit="1" customWidth="1"/>
    <col min="16" max="16" width="38.28515625" style="6" customWidth="1"/>
    <col min="17" max="18" width="15" style="6" bestFit="1" customWidth="1"/>
    <col min="19" max="16384" width="9.140625" style="6"/>
  </cols>
  <sheetData>
    <row r="2" spans="2:18" ht="26.25" x14ac:dyDescent="0.25">
      <c r="B2" s="187" t="s">
        <v>97</v>
      </c>
      <c r="C2" s="187"/>
      <c r="D2" s="187"/>
      <c r="E2" s="187"/>
      <c r="F2" s="187"/>
      <c r="G2" s="187"/>
      <c r="H2" s="187"/>
      <c r="I2" s="187"/>
      <c r="J2" s="187"/>
      <c r="K2" s="187"/>
      <c r="L2" s="187"/>
      <c r="M2" s="187"/>
      <c r="N2" s="187"/>
      <c r="O2" s="187"/>
      <c r="P2" s="187"/>
    </row>
    <row r="3" spans="2:18" ht="15.75" thickBot="1" x14ac:dyDescent="0.3"/>
    <row r="4" spans="2:18" ht="17.25" thickTop="1" thickBot="1" x14ac:dyDescent="0.3">
      <c r="B4" s="28" t="s">
        <v>68</v>
      </c>
      <c r="C4" s="28" t="s">
        <v>102</v>
      </c>
      <c r="D4" s="28" t="s">
        <v>154</v>
      </c>
      <c r="E4" s="29" t="s">
        <v>155</v>
      </c>
      <c r="F4" s="28" t="s">
        <v>82</v>
      </c>
      <c r="G4" s="28" t="s">
        <v>81</v>
      </c>
      <c r="H4" s="28" t="s">
        <v>80</v>
      </c>
      <c r="I4" s="28" t="s">
        <v>164</v>
      </c>
      <c r="J4" s="28" t="s">
        <v>70</v>
      </c>
      <c r="K4" s="28" t="s">
        <v>69</v>
      </c>
      <c r="L4" s="28" t="s">
        <v>71</v>
      </c>
      <c r="M4" s="28" t="s">
        <v>87</v>
      </c>
      <c r="N4" s="28" t="s">
        <v>88</v>
      </c>
      <c r="O4" s="28" t="s">
        <v>89</v>
      </c>
      <c r="P4" s="29" t="s">
        <v>83</v>
      </c>
    </row>
    <row r="5" spans="2:18" ht="46.5" thickTop="1" thickBot="1" x14ac:dyDescent="0.3">
      <c r="B5" s="195">
        <v>1</v>
      </c>
      <c r="C5" s="195" t="s">
        <v>72</v>
      </c>
      <c r="D5" s="190" t="s">
        <v>10</v>
      </c>
      <c r="E5" s="16" t="s">
        <v>150</v>
      </c>
      <c r="F5" s="17">
        <v>74</v>
      </c>
      <c r="G5" s="17">
        <v>28</v>
      </c>
      <c r="H5" s="18">
        <v>3</v>
      </c>
      <c r="I5" s="17">
        <v>0.05</v>
      </c>
      <c r="J5" s="19">
        <f>(F5*I5)+(G5*I5)</f>
        <v>5.1000000000000005</v>
      </c>
      <c r="K5" s="19">
        <f>J5*10.7639</f>
        <v>54.895890000000001</v>
      </c>
      <c r="L5" s="20">
        <v>600</v>
      </c>
      <c r="M5" s="41">
        <f>K5*L5</f>
        <v>32937.534</v>
      </c>
      <c r="N5" s="183">
        <f>'Building Costing'!L12</f>
        <v>62710588.428094804</v>
      </c>
      <c r="O5" s="183">
        <f>SUM(M5:M22)-N5</f>
        <v>24355601.624905184</v>
      </c>
      <c r="P5" s="21" t="s">
        <v>98</v>
      </c>
      <c r="Q5" s="10"/>
      <c r="R5" s="10"/>
    </row>
    <row r="6" spans="2:18" ht="46.5" thickTop="1" thickBot="1" x14ac:dyDescent="0.3">
      <c r="B6" s="196"/>
      <c r="C6" s="196"/>
      <c r="D6" s="191"/>
      <c r="E6" s="16" t="s">
        <v>84</v>
      </c>
      <c r="F6" s="17">
        <v>74</v>
      </c>
      <c r="G6" s="17">
        <v>28</v>
      </c>
      <c r="H6" s="18" t="s">
        <v>78</v>
      </c>
      <c r="I6" s="18" t="s">
        <v>78</v>
      </c>
      <c r="J6" s="19">
        <f>F6*G6</f>
        <v>2072</v>
      </c>
      <c r="K6" s="19">
        <f>J6*10.7639</f>
        <v>22302.800800000001</v>
      </c>
      <c r="L6" s="20">
        <v>500</v>
      </c>
      <c r="M6" s="41">
        <f>K6*L6</f>
        <v>11151400.4</v>
      </c>
      <c r="N6" s="184"/>
      <c r="O6" s="184"/>
      <c r="P6" s="21" t="s">
        <v>96</v>
      </c>
      <c r="R6" s="10"/>
    </row>
    <row r="7" spans="2:18" ht="31.5" thickTop="1" thickBot="1" x14ac:dyDescent="0.3">
      <c r="B7" s="196"/>
      <c r="C7" s="196"/>
      <c r="D7" s="54" t="s">
        <v>148</v>
      </c>
      <c r="E7" s="22" t="s">
        <v>76</v>
      </c>
      <c r="F7" s="17">
        <v>74</v>
      </c>
      <c r="G7" s="17">
        <v>28</v>
      </c>
      <c r="H7" s="18">
        <v>0.125</v>
      </c>
      <c r="I7" s="18" t="s">
        <v>78</v>
      </c>
      <c r="J7" s="19">
        <f t="shared" ref="J7" si="0">F7*G7</f>
        <v>2072</v>
      </c>
      <c r="K7" s="19">
        <f>J7*10.7639</f>
        <v>22302.800800000001</v>
      </c>
      <c r="L7" s="20">
        <v>75</v>
      </c>
      <c r="M7" s="41">
        <f>K7*L7</f>
        <v>1672710.06</v>
      </c>
      <c r="N7" s="184"/>
      <c r="O7" s="184"/>
      <c r="P7" s="21" t="s">
        <v>95</v>
      </c>
    </row>
    <row r="8" spans="2:18" ht="31.5" thickTop="1" thickBot="1" x14ac:dyDescent="0.3">
      <c r="B8" s="196"/>
      <c r="C8" s="196"/>
      <c r="D8" s="69" t="s">
        <v>159</v>
      </c>
      <c r="E8" s="16" t="s">
        <v>75</v>
      </c>
      <c r="F8" s="17">
        <v>74</v>
      </c>
      <c r="G8" s="17">
        <v>28</v>
      </c>
      <c r="H8" s="18">
        <v>6</v>
      </c>
      <c r="I8" s="18" t="s">
        <v>78</v>
      </c>
      <c r="J8" s="19">
        <f>F8*G8</f>
        <v>2072</v>
      </c>
      <c r="K8" s="19">
        <f t="shared" ref="K8:K21" si="1">J8*10.7639</f>
        <v>22302.800800000001</v>
      </c>
      <c r="L8" s="20">
        <v>700</v>
      </c>
      <c r="M8" s="41">
        <f t="shared" ref="M8:M21" si="2">K8*L8</f>
        <v>15611960.560000001</v>
      </c>
      <c r="N8" s="184"/>
      <c r="O8" s="184"/>
      <c r="P8" s="21" t="s">
        <v>103</v>
      </c>
    </row>
    <row r="9" spans="2:18" ht="31.5" thickTop="1" thickBot="1" x14ac:dyDescent="0.3">
      <c r="B9" s="196"/>
      <c r="C9" s="196"/>
      <c r="D9" s="54" t="s">
        <v>77</v>
      </c>
      <c r="E9" s="22" t="s">
        <v>77</v>
      </c>
      <c r="F9" s="17">
        <v>74</v>
      </c>
      <c r="G9" s="17">
        <v>28</v>
      </c>
      <c r="H9" s="18">
        <v>0</v>
      </c>
      <c r="I9" s="18" t="s">
        <v>78</v>
      </c>
      <c r="J9" s="19">
        <f t="shared" ref="J9" si="3">F9*G9</f>
        <v>2072</v>
      </c>
      <c r="K9" s="19">
        <f t="shared" si="1"/>
        <v>22302.800800000001</v>
      </c>
      <c r="L9" s="20">
        <v>120</v>
      </c>
      <c r="M9" s="41">
        <f t="shared" si="2"/>
        <v>2676336.0959999999</v>
      </c>
      <c r="N9" s="184"/>
      <c r="O9" s="184"/>
      <c r="P9" s="21" t="s">
        <v>105</v>
      </c>
    </row>
    <row r="10" spans="2:18" ht="31.5" thickTop="1" thickBot="1" x14ac:dyDescent="0.3">
      <c r="B10" s="197"/>
      <c r="C10" s="197"/>
      <c r="D10" s="70" t="s">
        <v>151</v>
      </c>
      <c r="E10" s="70" t="s">
        <v>151</v>
      </c>
      <c r="F10" s="17" t="s">
        <v>78</v>
      </c>
      <c r="G10" s="17" t="s">
        <v>78</v>
      </c>
      <c r="H10" s="18" t="s">
        <v>78</v>
      </c>
      <c r="I10" s="18" t="s">
        <v>78</v>
      </c>
      <c r="J10" s="19" t="s">
        <v>78</v>
      </c>
      <c r="K10" s="19" t="s">
        <v>78</v>
      </c>
      <c r="L10" s="20" t="s">
        <v>78</v>
      </c>
      <c r="M10" s="41">
        <v>200000</v>
      </c>
      <c r="N10" s="184"/>
      <c r="O10" s="184"/>
      <c r="P10" s="21" t="s">
        <v>152</v>
      </c>
    </row>
    <row r="11" spans="2:18" ht="46.5" thickTop="1" thickBot="1" x14ac:dyDescent="0.3">
      <c r="B11" s="195">
        <v>2</v>
      </c>
      <c r="C11" s="195" t="s">
        <v>73</v>
      </c>
      <c r="D11" s="190" t="s">
        <v>10</v>
      </c>
      <c r="E11" s="16" t="s">
        <v>150</v>
      </c>
      <c r="F11" s="17">
        <v>65</v>
      </c>
      <c r="G11" s="17">
        <v>28</v>
      </c>
      <c r="H11" s="18">
        <v>3</v>
      </c>
      <c r="I11" s="17">
        <v>0.05</v>
      </c>
      <c r="J11" s="19">
        <f>(F11*I11)+(G11*I11)</f>
        <v>4.6500000000000004</v>
      </c>
      <c r="K11" s="19">
        <f t="shared" si="1"/>
        <v>50.052135</v>
      </c>
      <c r="L11" s="20">
        <v>600</v>
      </c>
      <c r="M11" s="41">
        <f t="shared" si="2"/>
        <v>30031.280999999999</v>
      </c>
      <c r="N11" s="184"/>
      <c r="O11" s="184"/>
      <c r="P11" s="21" t="s">
        <v>98</v>
      </c>
      <c r="R11" s="50"/>
    </row>
    <row r="12" spans="2:18" ht="46.5" thickTop="1" thickBot="1" x14ac:dyDescent="0.3">
      <c r="B12" s="196"/>
      <c r="C12" s="196"/>
      <c r="D12" s="191"/>
      <c r="E12" s="16" t="s">
        <v>84</v>
      </c>
      <c r="F12" s="17">
        <v>65</v>
      </c>
      <c r="G12" s="17">
        <v>28</v>
      </c>
      <c r="H12" s="18" t="s">
        <v>78</v>
      </c>
      <c r="I12" s="18" t="s">
        <v>78</v>
      </c>
      <c r="J12" s="19">
        <f>F12*G12</f>
        <v>1820</v>
      </c>
      <c r="K12" s="19">
        <f>J12*10.7639</f>
        <v>19590.297999999999</v>
      </c>
      <c r="L12" s="20">
        <v>500</v>
      </c>
      <c r="M12" s="41">
        <f>K12*L12</f>
        <v>9795149</v>
      </c>
      <c r="N12" s="184"/>
      <c r="O12" s="184"/>
      <c r="P12" s="21" t="s">
        <v>96</v>
      </c>
      <c r="R12" s="10"/>
    </row>
    <row r="13" spans="2:18" ht="31.5" thickTop="1" thickBot="1" x14ac:dyDescent="0.3">
      <c r="B13" s="196"/>
      <c r="C13" s="196"/>
      <c r="D13" s="54" t="s">
        <v>148</v>
      </c>
      <c r="E13" s="22" t="s">
        <v>76</v>
      </c>
      <c r="F13" s="17">
        <v>65</v>
      </c>
      <c r="G13" s="17">
        <v>28</v>
      </c>
      <c r="H13" s="18">
        <v>0.125</v>
      </c>
      <c r="I13" s="18" t="s">
        <v>78</v>
      </c>
      <c r="J13" s="19">
        <f>F13*G13</f>
        <v>1820</v>
      </c>
      <c r="K13" s="19">
        <f>J13*10.7639</f>
        <v>19590.297999999999</v>
      </c>
      <c r="L13" s="20">
        <v>75</v>
      </c>
      <c r="M13" s="41">
        <f>K13*L13</f>
        <v>1469272.3499999999</v>
      </c>
      <c r="N13" s="184"/>
      <c r="O13" s="184"/>
      <c r="P13" s="21" t="s">
        <v>95</v>
      </c>
    </row>
    <row r="14" spans="2:18" ht="31.5" thickTop="1" thickBot="1" x14ac:dyDescent="0.3">
      <c r="B14" s="196"/>
      <c r="C14" s="196"/>
      <c r="D14" s="69" t="s">
        <v>159</v>
      </c>
      <c r="E14" s="16" t="s">
        <v>75</v>
      </c>
      <c r="F14" s="17">
        <v>65</v>
      </c>
      <c r="G14" s="17">
        <v>28</v>
      </c>
      <c r="H14" s="18">
        <v>6</v>
      </c>
      <c r="I14" s="18" t="s">
        <v>78</v>
      </c>
      <c r="J14" s="19">
        <f>F14*G14</f>
        <v>1820</v>
      </c>
      <c r="K14" s="19">
        <f t="shared" si="1"/>
        <v>19590.297999999999</v>
      </c>
      <c r="L14" s="20">
        <v>700</v>
      </c>
      <c r="M14" s="41">
        <f t="shared" si="2"/>
        <v>13713208.6</v>
      </c>
      <c r="N14" s="184"/>
      <c r="O14" s="184"/>
      <c r="P14" s="21" t="s">
        <v>103</v>
      </c>
    </row>
    <row r="15" spans="2:18" ht="31.5" thickTop="1" thickBot="1" x14ac:dyDescent="0.3">
      <c r="B15" s="196"/>
      <c r="C15" s="196"/>
      <c r="D15" s="54" t="s">
        <v>77</v>
      </c>
      <c r="E15" s="22" t="s">
        <v>77</v>
      </c>
      <c r="F15" s="17">
        <v>65</v>
      </c>
      <c r="G15" s="17">
        <v>28</v>
      </c>
      <c r="H15" s="18">
        <v>0</v>
      </c>
      <c r="I15" s="18" t="s">
        <v>78</v>
      </c>
      <c r="J15" s="19">
        <f t="shared" ref="J15" si="4">F15*G15</f>
        <v>1820</v>
      </c>
      <c r="K15" s="19">
        <f t="shared" si="1"/>
        <v>19590.297999999999</v>
      </c>
      <c r="L15" s="20">
        <v>120</v>
      </c>
      <c r="M15" s="41">
        <f t="shared" si="2"/>
        <v>2350835.7599999998</v>
      </c>
      <c r="N15" s="184"/>
      <c r="O15" s="184"/>
      <c r="P15" s="21" t="s">
        <v>105</v>
      </c>
    </row>
    <row r="16" spans="2:18" ht="31.5" thickTop="1" thickBot="1" x14ac:dyDescent="0.3">
      <c r="B16" s="197"/>
      <c r="C16" s="197"/>
      <c r="D16" s="70" t="s">
        <v>151</v>
      </c>
      <c r="E16" s="70" t="s">
        <v>151</v>
      </c>
      <c r="F16" s="17" t="s">
        <v>78</v>
      </c>
      <c r="G16" s="17" t="s">
        <v>78</v>
      </c>
      <c r="H16" s="18" t="s">
        <v>78</v>
      </c>
      <c r="I16" s="18" t="s">
        <v>78</v>
      </c>
      <c r="J16" s="19" t="s">
        <v>78</v>
      </c>
      <c r="K16" s="19" t="s">
        <v>78</v>
      </c>
      <c r="L16" s="20" t="s">
        <v>78</v>
      </c>
      <c r="M16" s="41">
        <v>100000</v>
      </c>
      <c r="N16" s="184"/>
      <c r="O16" s="184"/>
      <c r="P16" s="21" t="s">
        <v>152</v>
      </c>
    </row>
    <row r="17" spans="2:18" ht="39.75" customHeight="1" thickTop="1" thickBot="1" x14ac:dyDescent="0.3">
      <c r="B17" s="195">
        <v>3</v>
      </c>
      <c r="C17" s="195" t="s">
        <v>74</v>
      </c>
      <c r="D17" s="190" t="s">
        <v>10</v>
      </c>
      <c r="E17" s="16" t="s">
        <v>79</v>
      </c>
      <c r="F17" s="17">
        <v>67</v>
      </c>
      <c r="G17" s="17">
        <v>26</v>
      </c>
      <c r="H17" s="18">
        <v>3</v>
      </c>
      <c r="I17" s="17">
        <v>0.05</v>
      </c>
      <c r="J17" s="19">
        <f>(F17*I17)+(G17*I17)</f>
        <v>4.6500000000000004</v>
      </c>
      <c r="K17" s="19">
        <f t="shared" si="1"/>
        <v>50.052135</v>
      </c>
      <c r="L17" s="20">
        <v>600</v>
      </c>
      <c r="M17" s="41">
        <f t="shared" si="2"/>
        <v>30031.280999999999</v>
      </c>
      <c r="N17" s="184"/>
      <c r="O17" s="184"/>
      <c r="P17" s="192" t="s">
        <v>153</v>
      </c>
      <c r="R17" s="10"/>
    </row>
    <row r="18" spans="2:18" ht="39.75" customHeight="1" thickTop="1" thickBot="1" x14ac:dyDescent="0.3">
      <c r="B18" s="196"/>
      <c r="C18" s="196"/>
      <c r="D18" s="191"/>
      <c r="E18" s="16" t="s">
        <v>84</v>
      </c>
      <c r="F18" s="17">
        <v>67</v>
      </c>
      <c r="G18" s="17">
        <v>26</v>
      </c>
      <c r="H18" s="18" t="s">
        <v>78</v>
      </c>
      <c r="I18" s="18" t="s">
        <v>78</v>
      </c>
      <c r="J18" s="19">
        <f>F18*G18</f>
        <v>1742</v>
      </c>
      <c r="K18" s="19">
        <f>J18*10.7639</f>
        <v>18750.713799999998</v>
      </c>
      <c r="L18" s="20">
        <v>500</v>
      </c>
      <c r="M18" s="41">
        <f>K18*L18</f>
        <v>9375356.8999999985</v>
      </c>
      <c r="N18" s="184"/>
      <c r="O18" s="184"/>
      <c r="P18" s="193"/>
      <c r="R18" s="10"/>
    </row>
    <row r="19" spans="2:18" ht="39.75" customHeight="1" thickTop="1" thickBot="1" x14ac:dyDescent="0.3">
      <c r="B19" s="196"/>
      <c r="C19" s="196"/>
      <c r="D19" s="54" t="s">
        <v>148</v>
      </c>
      <c r="E19" s="22" t="s">
        <v>76</v>
      </c>
      <c r="F19" s="17">
        <v>67</v>
      </c>
      <c r="G19" s="17">
        <v>26</v>
      </c>
      <c r="H19" s="18">
        <v>0.125</v>
      </c>
      <c r="I19" s="18" t="s">
        <v>78</v>
      </c>
      <c r="J19" s="19">
        <f>F19*G19</f>
        <v>1742</v>
      </c>
      <c r="K19" s="19">
        <f>J19*10.7639</f>
        <v>18750.713799999998</v>
      </c>
      <c r="L19" s="20">
        <v>75</v>
      </c>
      <c r="M19" s="41">
        <f>K19*L19</f>
        <v>1406303.5349999999</v>
      </c>
      <c r="N19" s="184"/>
      <c r="O19" s="184"/>
      <c r="P19" s="193"/>
    </row>
    <row r="20" spans="2:18" ht="39.75" customHeight="1" thickTop="1" thickBot="1" x14ac:dyDescent="0.3">
      <c r="B20" s="196"/>
      <c r="C20" s="196"/>
      <c r="D20" s="69" t="s">
        <v>159</v>
      </c>
      <c r="E20" s="16" t="s">
        <v>75</v>
      </c>
      <c r="F20" s="17">
        <v>67</v>
      </c>
      <c r="G20" s="17">
        <v>26</v>
      </c>
      <c r="H20" s="18">
        <v>6</v>
      </c>
      <c r="I20" s="18" t="s">
        <v>78</v>
      </c>
      <c r="J20" s="19">
        <f>F20*G20</f>
        <v>1742</v>
      </c>
      <c r="K20" s="19">
        <f>J20*10.7639</f>
        <v>18750.713799999998</v>
      </c>
      <c r="L20" s="20">
        <v>800</v>
      </c>
      <c r="M20" s="41">
        <f t="shared" si="2"/>
        <v>15000571.039999999</v>
      </c>
      <c r="N20" s="184"/>
      <c r="O20" s="184"/>
      <c r="P20" s="193"/>
    </row>
    <row r="21" spans="2:18" ht="39.75" customHeight="1" thickTop="1" thickBot="1" x14ac:dyDescent="0.3">
      <c r="B21" s="196"/>
      <c r="C21" s="196"/>
      <c r="D21" s="54" t="s">
        <v>77</v>
      </c>
      <c r="E21" s="22" t="s">
        <v>77</v>
      </c>
      <c r="F21" s="17">
        <v>67</v>
      </c>
      <c r="G21" s="17">
        <v>26</v>
      </c>
      <c r="H21" s="18">
        <v>0</v>
      </c>
      <c r="I21" s="18" t="s">
        <v>78</v>
      </c>
      <c r="J21" s="19">
        <f t="shared" ref="J21" si="5">F21*G21</f>
        <v>1742</v>
      </c>
      <c r="K21" s="19">
        <f t="shared" si="1"/>
        <v>18750.713799999998</v>
      </c>
      <c r="L21" s="20">
        <v>120</v>
      </c>
      <c r="M21" s="41">
        <f t="shared" si="2"/>
        <v>2250085.6559999995</v>
      </c>
      <c r="N21" s="184"/>
      <c r="O21" s="184"/>
      <c r="P21" s="193"/>
      <c r="R21" s="49"/>
    </row>
    <row r="22" spans="2:18" ht="39.75" customHeight="1" thickTop="1" thickBot="1" x14ac:dyDescent="0.3">
      <c r="B22" s="197"/>
      <c r="C22" s="197"/>
      <c r="D22" s="70" t="s">
        <v>151</v>
      </c>
      <c r="E22" s="70" t="s">
        <v>151</v>
      </c>
      <c r="F22" s="17" t="s">
        <v>78</v>
      </c>
      <c r="G22" s="17" t="s">
        <v>78</v>
      </c>
      <c r="H22" s="18" t="s">
        <v>78</v>
      </c>
      <c r="I22" s="18" t="s">
        <v>78</v>
      </c>
      <c r="J22" s="19" t="s">
        <v>78</v>
      </c>
      <c r="K22" s="19" t="s">
        <v>78</v>
      </c>
      <c r="L22" s="20" t="s">
        <v>78</v>
      </c>
      <c r="M22" s="41">
        <v>200000</v>
      </c>
      <c r="N22" s="185"/>
      <c r="O22" s="185"/>
      <c r="P22" s="194"/>
      <c r="R22" s="49"/>
    </row>
    <row r="23" spans="2:18" ht="16.5" thickTop="1" thickBot="1" x14ac:dyDescent="0.3">
      <c r="B23" s="189" t="s">
        <v>93</v>
      </c>
      <c r="C23" s="189"/>
      <c r="D23" s="189"/>
      <c r="E23" s="189"/>
      <c r="F23" s="189"/>
      <c r="G23" s="189"/>
      <c r="H23" s="189"/>
      <c r="I23" s="71"/>
      <c r="J23" s="23">
        <f>SUM(J1:J21)</f>
        <v>22550.400000000001</v>
      </c>
      <c r="K23" s="23">
        <f>SUM(K1:K21)</f>
        <v>242730.25056000001</v>
      </c>
      <c r="L23" s="24"/>
      <c r="M23" s="24">
        <f>SUM(M5:M22)</f>
        <v>87066190.052999988</v>
      </c>
      <c r="N23" s="24">
        <f>SUM(N5:N22)</f>
        <v>62710588.428094804</v>
      </c>
      <c r="O23" s="24">
        <f>SUM(O5:O22)</f>
        <v>24355601.624905184</v>
      </c>
      <c r="P23" s="25"/>
      <c r="R23" s="10"/>
    </row>
    <row r="24" spans="2:18" ht="121.5" customHeight="1" thickTop="1" thickBot="1" x14ac:dyDescent="0.3">
      <c r="B24" s="15">
        <v>4</v>
      </c>
      <c r="C24" s="16" t="s">
        <v>85</v>
      </c>
      <c r="D24" s="69" t="s">
        <v>99</v>
      </c>
      <c r="E24" s="16" t="s">
        <v>100</v>
      </c>
      <c r="F24" s="188" t="s">
        <v>90</v>
      </c>
      <c r="G24" s="188"/>
      <c r="H24" s="188"/>
      <c r="I24" s="188"/>
      <c r="J24" s="188"/>
      <c r="K24" s="188"/>
      <c r="L24" s="188"/>
      <c r="M24" s="41">
        <f>M23*4.5%</f>
        <v>3917978.5523849991</v>
      </c>
      <c r="N24" s="41">
        <f>Road!C6+Parking!C6</f>
        <v>3001600</v>
      </c>
      <c r="O24" s="41">
        <f>M24-N24</f>
        <v>916378.55238499912</v>
      </c>
      <c r="P24" s="16" t="s">
        <v>99</v>
      </c>
    </row>
    <row r="25" spans="2:18" ht="37.5" customHeight="1" thickTop="1" thickBot="1" x14ac:dyDescent="0.3">
      <c r="B25" s="15">
        <v>5</v>
      </c>
      <c r="C25" s="22" t="s">
        <v>20</v>
      </c>
      <c r="D25" s="54" t="s">
        <v>149</v>
      </c>
      <c r="E25" s="22" t="s">
        <v>86</v>
      </c>
      <c r="F25" s="15">
        <v>900</v>
      </c>
      <c r="G25" s="15" t="s">
        <v>78</v>
      </c>
      <c r="H25" s="17">
        <f>6/3.28</f>
        <v>1.8292682926829269</v>
      </c>
      <c r="I25" s="17"/>
      <c r="J25" s="188" t="s">
        <v>78</v>
      </c>
      <c r="K25" s="188"/>
      <c r="L25" s="20">
        <v>4500</v>
      </c>
      <c r="M25" s="41">
        <f>F25*L25</f>
        <v>4050000</v>
      </c>
      <c r="N25" s="41">
        <f>'Compound Wall'!C8</f>
        <v>4600000</v>
      </c>
      <c r="O25" s="41">
        <f>M25-N25</f>
        <v>-550000</v>
      </c>
      <c r="P25" s="21" t="s">
        <v>101</v>
      </c>
    </row>
    <row r="26" spans="2:18" ht="17.25" thickTop="1" thickBot="1" x14ac:dyDescent="0.3">
      <c r="B26" s="186" t="s">
        <v>94</v>
      </c>
      <c r="C26" s="186"/>
      <c r="D26" s="186"/>
      <c r="E26" s="186"/>
      <c r="F26" s="186"/>
      <c r="G26" s="186"/>
      <c r="H26" s="186"/>
      <c r="I26" s="186"/>
      <c r="J26" s="186"/>
      <c r="K26" s="186"/>
      <c r="L26" s="186"/>
      <c r="M26" s="26">
        <f>M23+M24+M25</f>
        <v>95034168.605384991</v>
      </c>
      <c r="N26" s="26">
        <f>N23+N24+N25</f>
        <v>70312188.428094804</v>
      </c>
      <c r="O26" s="26">
        <f>O23+O24+O25</f>
        <v>24721980.177290183</v>
      </c>
      <c r="P26" s="27"/>
    </row>
    <row r="27" spans="2:18" ht="15.75" thickTop="1" x14ac:dyDescent="0.25">
      <c r="N27" s="10"/>
    </row>
  </sheetData>
  <mergeCells count="17">
    <mergeCell ref="B2:P2"/>
    <mergeCell ref="B5:B10"/>
    <mergeCell ref="C5:C10"/>
    <mergeCell ref="D5:D6"/>
    <mergeCell ref="N5:N22"/>
    <mergeCell ref="O5:O22"/>
    <mergeCell ref="B11:B16"/>
    <mergeCell ref="C11:C16"/>
    <mergeCell ref="D11:D12"/>
    <mergeCell ref="B17:B22"/>
    <mergeCell ref="B26:L26"/>
    <mergeCell ref="C17:C22"/>
    <mergeCell ref="D17:D18"/>
    <mergeCell ref="P17:P22"/>
    <mergeCell ref="B23:H23"/>
    <mergeCell ref="F24:L24"/>
    <mergeCell ref="J25:K2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B2:D10"/>
  <sheetViews>
    <sheetView zoomScale="90" zoomScaleNormal="90" workbookViewId="0">
      <selection activeCell="I23" sqref="I23"/>
    </sheetView>
  </sheetViews>
  <sheetFormatPr defaultRowHeight="17.45" customHeight="1" x14ac:dyDescent="0.25"/>
  <cols>
    <col min="2" max="2" width="21.42578125" style="1" bestFit="1" customWidth="1"/>
    <col min="3" max="3" width="20.85546875" style="1" customWidth="1"/>
    <col min="4" max="4" width="10.85546875" bestFit="1" customWidth="1"/>
  </cols>
  <sheetData>
    <row r="2" spans="2:4" ht="17.100000000000001" customHeight="1" x14ac:dyDescent="0.25">
      <c r="B2" s="198" t="s">
        <v>55</v>
      </c>
      <c r="C2" s="199"/>
    </row>
    <row r="3" spans="2:4" ht="17.45" customHeight="1" x14ac:dyDescent="0.25">
      <c r="B3" s="200"/>
      <c r="C3" s="201"/>
    </row>
    <row r="4" spans="2:4" ht="17.45" customHeight="1" x14ac:dyDescent="0.25">
      <c r="B4" s="2"/>
      <c r="C4" s="3"/>
    </row>
    <row r="5" spans="2:4" ht="17.45" customHeight="1" x14ac:dyDescent="0.25">
      <c r="B5" s="3" t="s">
        <v>30</v>
      </c>
      <c r="C5" s="2">
        <v>500000</v>
      </c>
    </row>
    <row r="6" spans="2:4" ht="30" x14ac:dyDescent="0.25">
      <c r="B6" s="5" t="s">
        <v>59</v>
      </c>
      <c r="C6" s="2">
        <v>2500000</v>
      </c>
    </row>
    <row r="7" spans="2:4" ht="17.45" customHeight="1" x14ac:dyDescent="0.25">
      <c r="B7" s="3"/>
      <c r="C7" s="2"/>
    </row>
    <row r="8" spans="2:4" ht="17.45" customHeight="1" x14ac:dyDescent="0.25">
      <c r="B8" s="3"/>
      <c r="C8" s="2"/>
    </row>
    <row r="9" spans="2:4" ht="17.45" customHeight="1" x14ac:dyDescent="0.25">
      <c r="B9" s="3" t="s">
        <v>14</v>
      </c>
      <c r="C9" s="3">
        <f>SUM(C5:C8)</f>
        <v>3000000</v>
      </c>
      <c r="D9" s="4"/>
    </row>
    <row r="10" spans="2:4" ht="17.45" customHeight="1" x14ac:dyDescent="0.25">
      <c r="B10" s="3"/>
      <c r="C10" s="3"/>
    </row>
  </sheetData>
  <mergeCells count="1">
    <mergeCell ref="B2:C3"/>
  </mergeCells>
  <pageMargins left="0.7" right="0.7" top="0.75" bottom="0.75" header="0.3" footer="0.3"/>
  <pageSetup paperSize="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B2:P19"/>
  <sheetViews>
    <sheetView zoomScale="85" zoomScaleNormal="85" workbookViewId="0">
      <selection activeCell="B4" sqref="B4:J13"/>
    </sheetView>
  </sheetViews>
  <sheetFormatPr defaultRowHeight="15" x14ac:dyDescent="0.25"/>
  <cols>
    <col min="1" max="1" width="2" style="6" customWidth="1"/>
    <col min="2" max="2" width="34.28515625" style="7" bestFit="1" customWidth="1"/>
    <col min="3" max="3" width="15" style="7" hidden="1" customWidth="1"/>
    <col min="4" max="4" width="16.140625" style="7" bestFit="1" customWidth="1"/>
    <col min="5" max="5" width="15" style="7" hidden="1" customWidth="1"/>
    <col min="6" max="6" width="16.140625" style="7" bestFit="1" customWidth="1"/>
    <col min="7" max="7" width="15" style="7" hidden="1" customWidth="1"/>
    <col min="8" max="8" width="16.140625" style="7" bestFit="1" customWidth="1"/>
    <col min="9" max="9" width="17.85546875" style="7" hidden="1" customWidth="1"/>
    <col min="10" max="10" width="18.42578125" style="6" bestFit="1" customWidth="1"/>
    <col min="11" max="11" width="9.140625" style="6"/>
    <col min="12" max="12" width="13.7109375" style="6" bestFit="1" customWidth="1"/>
    <col min="13" max="13" width="13.5703125" style="6" bestFit="1" customWidth="1"/>
    <col min="14" max="14" width="22.28515625" style="6" bestFit="1" customWidth="1"/>
    <col min="15" max="15" width="20.7109375" style="6" bestFit="1" customWidth="1"/>
    <col min="16" max="16" width="48" style="52" bestFit="1" customWidth="1"/>
    <col min="17" max="16384" width="9.140625" style="6"/>
  </cols>
  <sheetData>
    <row r="2" spans="2:16" ht="26.25" x14ac:dyDescent="0.25">
      <c r="B2" s="85" t="s">
        <v>107</v>
      </c>
    </row>
    <row r="3" spans="2:16" ht="15.75" thickBot="1" x14ac:dyDescent="0.3"/>
    <row r="4" spans="2:16" ht="24.75" thickTop="1" thickBot="1" x14ac:dyDescent="0.3">
      <c r="B4" s="144" t="s">
        <v>108</v>
      </c>
      <c r="C4" s="145"/>
      <c r="D4" s="145"/>
      <c r="E4" s="145"/>
      <c r="F4" s="145"/>
      <c r="G4" s="145"/>
      <c r="H4" s="145"/>
      <c r="I4" s="145"/>
      <c r="J4" s="146"/>
    </row>
    <row r="5" spans="2:16" ht="46.5" thickTop="1" thickBot="1" x14ac:dyDescent="0.3">
      <c r="B5" s="48" t="s">
        <v>109</v>
      </c>
      <c r="C5" s="45" t="s">
        <v>178</v>
      </c>
      <c r="D5" s="45" t="s">
        <v>179</v>
      </c>
      <c r="E5" s="45" t="s">
        <v>180</v>
      </c>
      <c r="F5" s="45" t="s">
        <v>181</v>
      </c>
      <c r="G5" s="45" t="s">
        <v>182</v>
      </c>
      <c r="H5" s="45" t="s">
        <v>183</v>
      </c>
      <c r="I5" s="45" t="s">
        <v>184</v>
      </c>
      <c r="J5" s="45" t="s">
        <v>185</v>
      </c>
    </row>
    <row r="6" spans="2:16" ht="17.45" customHeight="1" thickTop="1" thickBot="1" x14ac:dyDescent="0.3">
      <c r="B6" s="72" t="s">
        <v>10</v>
      </c>
      <c r="C6" s="101">
        <f>422*21000</f>
        <v>8862000</v>
      </c>
      <c r="D6" s="102">
        <v>8862000</v>
      </c>
      <c r="E6" s="101">
        <f>422*18000</f>
        <v>7596000</v>
      </c>
      <c r="F6" s="102">
        <v>7596000</v>
      </c>
      <c r="G6" s="101">
        <f>422*20000</f>
        <v>8440000</v>
      </c>
      <c r="H6" s="102">
        <v>8440000</v>
      </c>
      <c r="I6" s="75">
        <f>SUM(C6,E6,G6)</f>
        <v>24898000</v>
      </c>
      <c r="J6" s="75">
        <f>SUM(D6,F6,H6)</f>
        <v>24898000</v>
      </c>
    </row>
    <row r="7" spans="2:16" ht="17.45" customHeight="1" thickTop="1" thickBot="1" x14ac:dyDescent="0.3">
      <c r="B7" s="72" t="s">
        <v>11</v>
      </c>
      <c r="C7" s="101">
        <f>90*21000</f>
        <v>1890000</v>
      </c>
      <c r="D7" s="102">
        <v>1890000</v>
      </c>
      <c r="E7" s="101">
        <f>90*18000</f>
        <v>1620000</v>
      </c>
      <c r="F7" s="102">
        <v>1620000</v>
      </c>
      <c r="G7" s="101">
        <f>90*20000</f>
        <v>1800000</v>
      </c>
      <c r="H7" s="102">
        <v>1800000</v>
      </c>
      <c r="I7" s="75">
        <f t="shared" ref="I7:I10" si="0">SUM(C7,E7,G7)</f>
        <v>5310000</v>
      </c>
      <c r="J7" s="75">
        <f t="shared" ref="J7:J10" si="1">SUM(D7,F7,H7)</f>
        <v>5310000</v>
      </c>
    </row>
    <row r="8" spans="2:16" ht="17.45" customHeight="1" thickTop="1" thickBot="1" x14ac:dyDescent="0.3">
      <c r="B8" s="72" t="s">
        <v>12</v>
      </c>
      <c r="C8" s="101">
        <v>200000</v>
      </c>
      <c r="D8" s="102">
        <v>200000</v>
      </c>
      <c r="E8" s="101">
        <v>100000</v>
      </c>
      <c r="F8" s="102">
        <v>100000</v>
      </c>
      <c r="G8" s="101">
        <v>200000</v>
      </c>
      <c r="H8" s="102">
        <v>200000</v>
      </c>
      <c r="I8" s="75">
        <f t="shared" si="0"/>
        <v>500000</v>
      </c>
      <c r="J8" s="75">
        <f t="shared" si="1"/>
        <v>500000</v>
      </c>
    </row>
    <row r="9" spans="2:16" ht="17.45" customHeight="1" thickTop="1" thickBot="1" x14ac:dyDescent="0.3">
      <c r="B9" s="72" t="s">
        <v>13</v>
      </c>
      <c r="C9" s="101">
        <f>75000*120</f>
        <v>9000000</v>
      </c>
      <c r="D9" s="102">
        <v>9000000</v>
      </c>
      <c r="E9" s="101">
        <f>95000*120</f>
        <v>11400000</v>
      </c>
      <c r="F9" s="102">
        <v>11400000</v>
      </c>
      <c r="G9" s="101">
        <f>65000*120</f>
        <v>7800000</v>
      </c>
      <c r="H9" s="102">
        <v>7800000</v>
      </c>
      <c r="I9" s="75">
        <f t="shared" si="0"/>
        <v>28200000</v>
      </c>
      <c r="J9" s="75">
        <f t="shared" si="1"/>
        <v>28200000</v>
      </c>
    </row>
    <row r="10" spans="2:16" ht="17.45" customHeight="1" thickTop="1" thickBot="1" x14ac:dyDescent="0.3">
      <c r="B10" s="72" t="s">
        <v>77</v>
      </c>
      <c r="C10" s="101">
        <f>50*21000</f>
        <v>1050000</v>
      </c>
      <c r="D10" s="102">
        <v>1050000</v>
      </c>
      <c r="E10" s="101">
        <f>50*18000</f>
        <v>900000</v>
      </c>
      <c r="F10" s="102">
        <v>900000</v>
      </c>
      <c r="G10" s="101">
        <f>95*18000</f>
        <v>1710000</v>
      </c>
      <c r="H10" s="102">
        <v>1710000</v>
      </c>
      <c r="I10" s="75">
        <f t="shared" si="0"/>
        <v>3660000</v>
      </c>
      <c r="J10" s="75">
        <f t="shared" si="1"/>
        <v>3660000</v>
      </c>
    </row>
    <row r="11" spans="2:16" ht="17.45" customHeight="1" thickTop="1" thickBot="1" x14ac:dyDescent="0.3">
      <c r="B11" s="142"/>
      <c r="C11" s="143"/>
      <c r="D11" s="143"/>
      <c r="E11" s="143"/>
      <c r="F11" s="143"/>
      <c r="G11" s="143"/>
      <c r="H11" s="143"/>
      <c r="I11" s="143"/>
    </row>
    <row r="12" spans="2:16" ht="17.45" customHeight="1" thickTop="1" thickBot="1" x14ac:dyDescent="0.3">
      <c r="B12" s="37" t="s">
        <v>14</v>
      </c>
      <c r="C12" s="38">
        <f t="shared" ref="C12:H12" si="2">SUM(C6:C11)</f>
        <v>21002000</v>
      </c>
      <c r="D12" s="38">
        <f t="shared" si="2"/>
        <v>21002000</v>
      </c>
      <c r="E12" s="38">
        <f t="shared" si="2"/>
        <v>21616000</v>
      </c>
      <c r="F12" s="38">
        <f t="shared" si="2"/>
        <v>21616000</v>
      </c>
      <c r="G12" s="38">
        <f t="shared" si="2"/>
        <v>19950000</v>
      </c>
      <c r="H12" s="38">
        <f t="shared" si="2"/>
        <v>19950000</v>
      </c>
      <c r="I12" s="38">
        <f>SUM(I6:I10)</f>
        <v>62568000</v>
      </c>
      <c r="J12" s="38">
        <f>SUM(J6:J10)</f>
        <v>62568000</v>
      </c>
    </row>
    <row r="13" spans="2:16" ht="17.45" customHeight="1" thickTop="1" thickBot="1" x14ac:dyDescent="0.3">
      <c r="B13" s="37" t="s">
        <v>16</v>
      </c>
      <c r="C13" s="38">
        <f>C12/21000</f>
        <v>1000.0952380952381</v>
      </c>
      <c r="D13" s="38">
        <f>D12/21000</f>
        <v>1000.0952380952381</v>
      </c>
      <c r="E13" s="38">
        <f>E12/18000</f>
        <v>1200.8888888888889</v>
      </c>
      <c r="F13" s="38">
        <f>F12/18000</f>
        <v>1200.8888888888889</v>
      </c>
      <c r="G13" s="38">
        <f>G12/20000</f>
        <v>997.5</v>
      </c>
      <c r="H13" s="38">
        <f>H12/20000</f>
        <v>997.5</v>
      </c>
      <c r="I13" s="38">
        <f>I12/59000</f>
        <v>1060.4745762711864</v>
      </c>
      <c r="J13" s="38">
        <f>J12/59000</f>
        <v>1060.4745762711864</v>
      </c>
    </row>
    <row r="14" spans="2:16" ht="17.45" customHeight="1" thickTop="1" thickBot="1" x14ac:dyDescent="0.3">
      <c r="L14" s="87" t="s">
        <v>111</v>
      </c>
      <c r="M14" s="88" t="s">
        <v>69</v>
      </c>
      <c r="N14" s="87" t="s">
        <v>170</v>
      </c>
      <c r="O14" s="87" t="s">
        <v>171</v>
      </c>
      <c r="P14" s="87" t="s">
        <v>83</v>
      </c>
    </row>
    <row r="15" spans="2:16" ht="256.5" thickTop="1" thickBot="1" x14ac:dyDescent="0.3">
      <c r="L15" s="89" t="s">
        <v>72</v>
      </c>
      <c r="M15" s="90">
        <v>21000</v>
      </c>
      <c r="N15" s="91">
        <v>21002000</v>
      </c>
      <c r="O15" s="91">
        <v>21002000</v>
      </c>
      <c r="P15" s="92" t="s">
        <v>187</v>
      </c>
    </row>
    <row r="16" spans="2:16" ht="256.5" thickTop="1" thickBot="1" x14ac:dyDescent="0.3">
      <c r="L16" s="89" t="s">
        <v>73</v>
      </c>
      <c r="M16" s="90">
        <v>18000</v>
      </c>
      <c r="N16" s="91">
        <v>21616000</v>
      </c>
      <c r="O16" s="91">
        <v>21616000</v>
      </c>
      <c r="P16" s="92" t="s">
        <v>177</v>
      </c>
    </row>
    <row r="17" spans="12:16" ht="271.5" thickTop="1" thickBot="1" x14ac:dyDescent="0.3">
      <c r="L17" s="93" t="s">
        <v>74</v>
      </c>
      <c r="M17" s="94">
        <v>20000</v>
      </c>
      <c r="N17" s="95">
        <v>19950000</v>
      </c>
      <c r="O17" s="95">
        <v>19950000</v>
      </c>
      <c r="P17" s="96" t="s">
        <v>172</v>
      </c>
    </row>
    <row r="18" spans="12:16" ht="61.5" thickTop="1" thickBot="1" x14ac:dyDescent="0.3">
      <c r="L18" s="97" t="s">
        <v>175</v>
      </c>
      <c r="M18" s="98">
        <v>59000</v>
      </c>
      <c r="N18" s="98">
        <v>62568000</v>
      </c>
      <c r="O18" s="98">
        <v>62568000</v>
      </c>
      <c r="P18" s="99" t="s">
        <v>176</v>
      </c>
    </row>
    <row r="19" spans="12:16" ht="15.75" thickTop="1" x14ac:dyDescent="0.25"/>
  </sheetData>
  <mergeCells count="2">
    <mergeCell ref="B11:I11"/>
    <mergeCell ref="B4:J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T26"/>
  <sheetViews>
    <sheetView view="pageBreakPreview" zoomScale="55" zoomScaleNormal="55" zoomScaleSheetLayoutView="55" zoomScalePageLayoutView="70" workbookViewId="0">
      <selection activeCell="B4" sqref="B4:B14"/>
    </sheetView>
  </sheetViews>
  <sheetFormatPr defaultRowHeight="15" x14ac:dyDescent="0.25"/>
  <cols>
    <col min="1" max="1" width="6.85546875" style="58" bestFit="1" customWidth="1"/>
    <col min="2" max="2" width="51.140625" style="58" customWidth="1"/>
    <col min="3" max="3" width="24" style="58" bestFit="1" customWidth="1"/>
    <col min="4" max="4" width="62.140625" style="58" hidden="1" customWidth="1"/>
    <col min="5" max="5" width="14.42578125" style="58" bestFit="1" customWidth="1"/>
    <col min="6" max="6" width="36.85546875" style="62" customWidth="1"/>
    <col min="7" max="7" width="42.140625" style="63" customWidth="1"/>
    <col min="8" max="8" width="10.5703125" style="58" bestFit="1" customWidth="1"/>
    <col min="9" max="9" width="22.42578125" style="58" bestFit="1" customWidth="1"/>
    <col min="10" max="11" width="19.5703125" style="58" bestFit="1" customWidth="1"/>
    <col min="12" max="12" width="28" style="58" bestFit="1" customWidth="1"/>
    <col min="13" max="13" width="32.28515625" style="58" bestFit="1" customWidth="1"/>
    <col min="14" max="14" width="26.140625" style="58" bestFit="1" customWidth="1"/>
    <col min="15" max="15" width="35.42578125" style="56" bestFit="1" customWidth="1"/>
    <col min="16" max="16" width="28" style="56" bestFit="1" customWidth="1"/>
    <col min="17" max="17" width="22" style="56" customWidth="1"/>
    <col min="18" max="18" width="2.85546875" style="56" hidden="1" customWidth="1"/>
    <col min="19" max="19" width="13.42578125" style="56" bestFit="1" customWidth="1"/>
    <col min="20" max="20" width="11" style="56" bestFit="1" customWidth="1"/>
    <col min="21" max="16384" width="9.140625" style="56"/>
  </cols>
  <sheetData>
    <row r="1" spans="1:20" ht="47.25" thickBot="1" x14ac:dyDescent="0.3">
      <c r="A1" s="147" t="s">
        <v>186</v>
      </c>
      <c r="B1" s="147"/>
      <c r="C1" s="147"/>
      <c r="D1" s="147"/>
      <c r="E1" s="147"/>
      <c r="F1" s="147"/>
      <c r="G1" s="147"/>
      <c r="H1" s="147"/>
      <c r="I1" s="147"/>
      <c r="J1" s="147"/>
      <c r="K1" s="147"/>
      <c r="L1" s="147"/>
      <c r="M1" s="147"/>
      <c r="N1" s="147"/>
      <c r="O1" s="147"/>
      <c r="P1" s="147"/>
      <c r="Q1" s="147"/>
      <c r="R1" s="147"/>
    </row>
    <row r="2" spans="1:20" ht="234" thickTop="1" thickBot="1" x14ac:dyDescent="0.3">
      <c r="A2" s="103" t="s">
        <v>68</v>
      </c>
      <c r="B2" s="103" t="s">
        <v>121</v>
      </c>
      <c r="C2" s="103" t="s">
        <v>122</v>
      </c>
      <c r="D2" s="103" t="s">
        <v>123</v>
      </c>
      <c r="E2" s="103" t="s">
        <v>124</v>
      </c>
      <c r="F2" s="104" t="s">
        <v>0</v>
      </c>
      <c r="G2" s="103" t="s">
        <v>6</v>
      </c>
      <c r="H2" s="103" t="s">
        <v>1</v>
      </c>
      <c r="I2" s="103" t="s">
        <v>2</v>
      </c>
      <c r="J2" s="103" t="s">
        <v>3</v>
      </c>
      <c r="K2" s="103" t="s">
        <v>125</v>
      </c>
      <c r="L2" s="103" t="s">
        <v>126</v>
      </c>
      <c r="M2" s="103" t="s">
        <v>127</v>
      </c>
      <c r="N2" s="103" t="s">
        <v>128</v>
      </c>
      <c r="O2" s="103" t="s">
        <v>116</v>
      </c>
      <c r="P2" s="103" t="s">
        <v>129</v>
      </c>
      <c r="Q2" s="103" t="s">
        <v>130</v>
      </c>
      <c r="R2" s="103" t="s">
        <v>89</v>
      </c>
    </row>
    <row r="3" spans="1:20" ht="71.25" thickTop="1" thickBot="1" x14ac:dyDescent="0.4">
      <c r="A3" s="105">
        <v>1</v>
      </c>
      <c r="B3" s="205" t="s">
        <v>131</v>
      </c>
      <c r="C3" s="108" t="s">
        <v>132</v>
      </c>
      <c r="D3" s="106"/>
      <c r="E3" s="107" t="s">
        <v>133</v>
      </c>
      <c r="F3" s="108" t="s">
        <v>5</v>
      </c>
      <c r="G3" s="108" t="s">
        <v>7</v>
      </c>
      <c r="H3" s="109">
        <v>1</v>
      </c>
      <c r="I3" s="109">
        <v>1300000</v>
      </c>
      <c r="J3" s="109" t="s">
        <v>78</v>
      </c>
      <c r="K3" s="105" t="s">
        <v>78</v>
      </c>
      <c r="L3" s="109">
        <f>I3*H3</f>
        <v>1300000</v>
      </c>
      <c r="M3" s="109" t="s">
        <v>78</v>
      </c>
      <c r="N3" s="109" t="s">
        <v>78</v>
      </c>
      <c r="O3" s="158" t="s">
        <v>78</v>
      </c>
      <c r="P3" s="125">
        <f>L3*80</f>
        <v>104000000</v>
      </c>
      <c r="Q3" s="110" t="s">
        <v>114</v>
      </c>
      <c r="R3" s="110">
        <f>L20-P3</f>
        <v>0</v>
      </c>
    </row>
    <row r="4" spans="1:20" ht="71.25" thickTop="1" thickBot="1" x14ac:dyDescent="0.3">
      <c r="A4" s="148">
        <v>2</v>
      </c>
      <c r="B4" s="151" t="s">
        <v>134</v>
      </c>
      <c r="C4" s="154" t="s">
        <v>135</v>
      </c>
      <c r="D4" s="157" t="s">
        <v>136</v>
      </c>
      <c r="E4" s="157" t="s">
        <v>133</v>
      </c>
      <c r="F4" s="108" t="s">
        <v>32</v>
      </c>
      <c r="G4" s="108" t="s">
        <v>33</v>
      </c>
      <c r="H4" s="105">
        <v>1</v>
      </c>
      <c r="I4" s="105" t="s">
        <v>78</v>
      </c>
      <c r="J4" s="105">
        <v>7500</v>
      </c>
      <c r="K4" s="105" t="s">
        <v>78</v>
      </c>
      <c r="L4" s="105" t="s">
        <v>78</v>
      </c>
      <c r="M4" s="105">
        <f>J4*H4</f>
        <v>7500</v>
      </c>
      <c r="N4" s="109" t="s">
        <v>78</v>
      </c>
      <c r="O4" s="159"/>
      <c r="P4" s="124">
        <f t="shared" ref="P4:P14" si="0">M4*80</f>
        <v>600000</v>
      </c>
      <c r="Q4" s="110" t="s">
        <v>114</v>
      </c>
      <c r="R4" s="110">
        <f>(M4*80)-P4</f>
        <v>0</v>
      </c>
    </row>
    <row r="5" spans="1:20" ht="48" thickTop="1" thickBot="1" x14ac:dyDescent="0.3">
      <c r="A5" s="149"/>
      <c r="B5" s="152"/>
      <c r="C5" s="155"/>
      <c r="D5" s="155"/>
      <c r="E5" s="155"/>
      <c r="F5" s="108" t="s">
        <v>34</v>
      </c>
      <c r="G5" s="108" t="s">
        <v>35</v>
      </c>
      <c r="H5" s="105">
        <v>1</v>
      </c>
      <c r="I5" s="105" t="s">
        <v>78</v>
      </c>
      <c r="J5" s="105">
        <v>6500</v>
      </c>
      <c r="K5" s="105" t="s">
        <v>78</v>
      </c>
      <c r="L5" s="105" t="s">
        <v>78</v>
      </c>
      <c r="M5" s="105">
        <f t="shared" ref="M5:M14" si="1">J5*H5</f>
        <v>6500</v>
      </c>
      <c r="N5" s="109" t="s">
        <v>78</v>
      </c>
      <c r="O5" s="159"/>
      <c r="P5" s="124">
        <f t="shared" si="0"/>
        <v>520000</v>
      </c>
      <c r="Q5" s="110" t="s">
        <v>114</v>
      </c>
      <c r="R5" s="110">
        <f>(M5*80)-P5</f>
        <v>0</v>
      </c>
    </row>
    <row r="6" spans="1:20" ht="48" thickTop="1" thickBot="1" x14ac:dyDescent="0.3">
      <c r="A6" s="149"/>
      <c r="B6" s="152"/>
      <c r="C6" s="155"/>
      <c r="D6" s="155"/>
      <c r="E6" s="155"/>
      <c r="F6" s="108" t="s">
        <v>36</v>
      </c>
      <c r="G6" s="108" t="s">
        <v>37</v>
      </c>
      <c r="H6" s="105">
        <v>2</v>
      </c>
      <c r="I6" s="105" t="s">
        <v>78</v>
      </c>
      <c r="J6" s="105">
        <v>80000</v>
      </c>
      <c r="K6" s="105" t="s">
        <v>78</v>
      </c>
      <c r="L6" s="105" t="s">
        <v>78</v>
      </c>
      <c r="M6" s="105">
        <f t="shared" si="1"/>
        <v>160000</v>
      </c>
      <c r="N6" s="109" t="s">
        <v>78</v>
      </c>
      <c r="O6" s="159"/>
      <c r="P6" s="124">
        <f t="shared" si="0"/>
        <v>12800000</v>
      </c>
      <c r="Q6" s="110" t="s">
        <v>114</v>
      </c>
      <c r="R6" s="110">
        <f>S6-P6</f>
        <v>908800</v>
      </c>
      <c r="S6" s="58">
        <f>85680*2*80</f>
        <v>13708800</v>
      </c>
      <c r="T6" s="56" t="s">
        <v>115</v>
      </c>
    </row>
    <row r="7" spans="1:20" ht="48" thickTop="1" thickBot="1" x14ac:dyDescent="0.3">
      <c r="A7" s="149"/>
      <c r="B7" s="152"/>
      <c r="C7" s="155"/>
      <c r="D7" s="155"/>
      <c r="E7" s="155"/>
      <c r="F7" s="108" t="s">
        <v>38</v>
      </c>
      <c r="G7" s="108" t="s">
        <v>39</v>
      </c>
      <c r="H7" s="105">
        <v>1</v>
      </c>
      <c r="I7" s="105" t="s">
        <v>78</v>
      </c>
      <c r="J7" s="105">
        <v>119500</v>
      </c>
      <c r="K7" s="105" t="s">
        <v>78</v>
      </c>
      <c r="L7" s="105" t="s">
        <v>78</v>
      </c>
      <c r="M7" s="105">
        <f t="shared" si="1"/>
        <v>119500</v>
      </c>
      <c r="N7" s="109" t="s">
        <v>78</v>
      </c>
      <c r="O7" s="159"/>
      <c r="P7" s="124">
        <f t="shared" si="0"/>
        <v>9560000</v>
      </c>
      <c r="Q7" s="110" t="s">
        <v>114</v>
      </c>
      <c r="R7" s="110">
        <f>(M7*80)-P7</f>
        <v>0</v>
      </c>
    </row>
    <row r="8" spans="1:20" ht="71.25" thickTop="1" thickBot="1" x14ac:dyDescent="0.3">
      <c r="A8" s="149"/>
      <c r="B8" s="152"/>
      <c r="C8" s="155"/>
      <c r="D8" s="155"/>
      <c r="E8" s="155"/>
      <c r="F8" s="108" t="s">
        <v>40</v>
      </c>
      <c r="G8" s="108" t="s">
        <v>45</v>
      </c>
      <c r="H8" s="105">
        <v>1</v>
      </c>
      <c r="I8" s="105" t="s">
        <v>78</v>
      </c>
      <c r="J8" s="105">
        <v>13800</v>
      </c>
      <c r="K8" s="105" t="s">
        <v>78</v>
      </c>
      <c r="L8" s="105" t="s">
        <v>78</v>
      </c>
      <c r="M8" s="105">
        <f t="shared" si="1"/>
        <v>13800</v>
      </c>
      <c r="N8" s="109" t="s">
        <v>78</v>
      </c>
      <c r="O8" s="159"/>
      <c r="P8" s="124">
        <f t="shared" si="0"/>
        <v>1104000</v>
      </c>
      <c r="Q8" s="110" t="s">
        <v>114</v>
      </c>
      <c r="R8" s="110">
        <f t="shared" ref="R8:R14" si="2">(M8*80)-P8</f>
        <v>0</v>
      </c>
    </row>
    <row r="9" spans="1:20" ht="48" thickTop="1" thickBot="1" x14ac:dyDescent="0.3">
      <c r="A9" s="149"/>
      <c r="B9" s="152"/>
      <c r="C9" s="155"/>
      <c r="D9" s="155"/>
      <c r="E9" s="155"/>
      <c r="F9" s="108" t="s">
        <v>41</v>
      </c>
      <c r="G9" s="108" t="s">
        <v>42</v>
      </c>
      <c r="H9" s="105">
        <v>1</v>
      </c>
      <c r="I9" s="105" t="s">
        <v>78</v>
      </c>
      <c r="J9" s="105">
        <v>17500</v>
      </c>
      <c r="K9" s="105" t="s">
        <v>78</v>
      </c>
      <c r="L9" s="105" t="s">
        <v>78</v>
      </c>
      <c r="M9" s="105">
        <f t="shared" si="1"/>
        <v>17500</v>
      </c>
      <c r="N9" s="109" t="s">
        <v>78</v>
      </c>
      <c r="O9" s="159"/>
      <c r="P9" s="124">
        <f t="shared" si="0"/>
        <v>1400000</v>
      </c>
      <c r="Q9" s="110" t="s">
        <v>114</v>
      </c>
      <c r="R9" s="110">
        <f t="shared" si="2"/>
        <v>0</v>
      </c>
    </row>
    <row r="10" spans="1:20" ht="71.25" thickTop="1" thickBot="1" x14ac:dyDescent="0.3">
      <c r="A10" s="149"/>
      <c r="B10" s="152"/>
      <c r="C10" s="155"/>
      <c r="D10" s="155"/>
      <c r="E10" s="155"/>
      <c r="F10" s="108" t="s">
        <v>43</v>
      </c>
      <c r="G10" s="108" t="s">
        <v>44</v>
      </c>
      <c r="H10" s="105">
        <v>1</v>
      </c>
      <c r="I10" s="105" t="s">
        <v>78</v>
      </c>
      <c r="J10" s="105">
        <v>12800</v>
      </c>
      <c r="K10" s="105" t="s">
        <v>78</v>
      </c>
      <c r="L10" s="105" t="s">
        <v>78</v>
      </c>
      <c r="M10" s="105">
        <f t="shared" si="1"/>
        <v>12800</v>
      </c>
      <c r="N10" s="109" t="s">
        <v>78</v>
      </c>
      <c r="O10" s="159"/>
      <c r="P10" s="124">
        <f t="shared" si="0"/>
        <v>1024000</v>
      </c>
      <c r="Q10" s="110" t="s">
        <v>114</v>
      </c>
      <c r="R10" s="110">
        <f t="shared" si="2"/>
        <v>0</v>
      </c>
    </row>
    <row r="11" spans="1:20" ht="141" thickTop="1" thickBot="1" x14ac:dyDescent="0.3">
      <c r="A11" s="149"/>
      <c r="B11" s="152"/>
      <c r="C11" s="155"/>
      <c r="D11" s="155"/>
      <c r="E11" s="155"/>
      <c r="F11" s="108" t="s">
        <v>46</v>
      </c>
      <c r="G11" s="108" t="s">
        <v>47</v>
      </c>
      <c r="H11" s="105">
        <v>1</v>
      </c>
      <c r="I11" s="105" t="s">
        <v>78</v>
      </c>
      <c r="J11" s="105">
        <v>22000</v>
      </c>
      <c r="K11" s="105" t="s">
        <v>78</v>
      </c>
      <c r="L11" s="105" t="s">
        <v>78</v>
      </c>
      <c r="M11" s="105">
        <f t="shared" si="1"/>
        <v>22000</v>
      </c>
      <c r="N11" s="109" t="s">
        <v>78</v>
      </c>
      <c r="O11" s="159"/>
      <c r="P11" s="124">
        <f t="shared" si="0"/>
        <v>1760000</v>
      </c>
      <c r="Q11" s="110" t="s">
        <v>114</v>
      </c>
      <c r="R11" s="110">
        <f t="shared" si="2"/>
        <v>0</v>
      </c>
    </row>
    <row r="12" spans="1:20" ht="94.5" thickTop="1" thickBot="1" x14ac:dyDescent="0.3">
      <c r="A12" s="149"/>
      <c r="B12" s="152"/>
      <c r="C12" s="155"/>
      <c r="D12" s="155"/>
      <c r="E12" s="155"/>
      <c r="F12" s="108" t="s">
        <v>46</v>
      </c>
      <c r="G12" s="108" t="s">
        <v>48</v>
      </c>
      <c r="H12" s="105">
        <v>1</v>
      </c>
      <c r="I12" s="105" t="s">
        <v>78</v>
      </c>
      <c r="J12" s="105">
        <v>30000</v>
      </c>
      <c r="K12" s="105" t="s">
        <v>78</v>
      </c>
      <c r="L12" s="105" t="s">
        <v>78</v>
      </c>
      <c r="M12" s="105">
        <f t="shared" si="1"/>
        <v>30000</v>
      </c>
      <c r="N12" s="109" t="s">
        <v>78</v>
      </c>
      <c r="O12" s="159"/>
      <c r="P12" s="124">
        <f t="shared" si="0"/>
        <v>2400000</v>
      </c>
      <c r="Q12" s="110" t="s">
        <v>114</v>
      </c>
      <c r="R12" s="110">
        <f t="shared" si="2"/>
        <v>0</v>
      </c>
    </row>
    <row r="13" spans="1:20" ht="141" thickTop="1" thickBot="1" x14ac:dyDescent="0.3">
      <c r="A13" s="149"/>
      <c r="B13" s="152"/>
      <c r="C13" s="155"/>
      <c r="D13" s="155"/>
      <c r="E13" s="155"/>
      <c r="F13" s="108" t="s">
        <v>49</v>
      </c>
      <c r="G13" s="108" t="s">
        <v>51</v>
      </c>
      <c r="H13" s="105">
        <v>2</v>
      </c>
      <c r="I13" s="105" t="s">
        <v>78</v>
      </c>
      <c r="J13" s="105">
        <v>4500</v>
      </c>
      <c r="K13" s="105" t="s">
        <v>78</v>
      </c>
      <c r="L13" s="105" t="s">
        <v>78</v>
      </c>
      <c r="M13" s="105">
        <f t="shared" si="1"/>
        <v>9000</v>
      </c>
      <c r="N13" s="109" t="s">
        <v>78</v>
      </c>
      <c r="O13" s="159"/>
      <c r="P13" s="124">
        <f t="shared" si="0"/>
        <v>720000</v>
      </c>
      <c r="Q13" s="110" t="s">
        <v>114</v>
      </c>
      <c r="R13" s="110">
        <f t="shared" si="2"/>
        <v>0</v>
      </c>
    </row>
    <row r="14" spans="1:20" ht="48" thickTop="1" thickBot="1" x14ac:dyDescent="0.3">
      <c r="A14" s="150"/>
      <c r="B14" s="153"/>
      <c r="C14" s="156"/>
      <c r="D14" s="156"/>
      <c r="E14" s="156"/>
      <c r="F14" s="108" t="s">
        <v>50</v>
      </c>
      <c r="G14" s="112" t="s">
        <v>52</v>
      </c>
      <c r="H14" s="105">
        <v>1</v>
      </c>
      <c r="I14" s="105" t="s">
        <v>78</v>
      </c>
      <c r="J14" s="105">
        <v>5800</v>
      </c>
      <c r="K14" s="105" t="s">
        <v>78</v>
      </c>
      <c r="L14" s="105" t="s">
        <v>78</v>
      </c>
      <c r="M14" s="105">
        <f t="shared" si="1"/>
        <v>5800</v>
      </c>
      <c r="N14" s="109" t="s">
        <v>78</v>
      </c>
      <c r="O14" s="159"/>
      <c r="P14" s="124">
        <f t="shared" si="0"/>
        <v>464000</v>
      </c>
      <c r="Q14" s="110" t="s">
        <v>114</v>
      </c>
      <c r="R14" s="110">
        <f t="shared" si="2"/>
        <v>0</v>
      </c>
    </row>
    <row r="15" spans="1:20" ht="94.5" thickTop="1" thickBot="1" x14ac:dyDescent="0.3">
      <c r="A15" s="105">
        <v>3</v>
      </c>
      <c r="B15" s="108" t="s">
        <v>134</v>
      </c>
      <c r="C15" s="113" t="s">
        <v>137</v>
      </c>
      <c r="D15" s="105"/>
      <c r="E15" s="109" t="s">
        <v>138</v>
      </c>
      <c r="F15" s="114" t="s">
        <v>56</v>
      </c>
      <c r="G15" s="115" t="s">
        <v>139</v>
      </c>
      <c r="H15" s="116" t="s">
        <v>78</v>
      </c>
      <c r="I15" s="105" t="s">
        <v>78</v>
      </c>
      <c r="J15" s="105" t="s">
        <v>78</v>
      </c>
      <c r="K15" s="105" t="s">
        <v>78</v>
      </c>
      <c r="L15" s="105" t="s">
        <v>78</v>
      </c>
      <c r="M15" s="105" t="s">
        <v>78</v>
      </c>
      <c r="N15" s="105">
        <v>6494850</v>
      </c>
      <c r="O15" s="159"/>
      <c r="P15" s="124">
        <f>N15</f>
        <v>6494850</v>
      </c>
      <c r="Q15" s="110" t="s">
        <v>114</v>
      </c>
      <c r="R15" s="110">
        <f>N15-P15</f>
        <v>0</v>
      </c>
    </row>
    <row r="16" spans="1:20" ht="94.5" thickTop="1" thickBot="1" x14ac:dyDescent="0.3">
      <c r="A16" s="105">
        <v>4</v>
      </c>
      <c r="B16" s="108" t="s">
        <v>134</v>
      </c>
      <c r="C16" s="113" t="s">
        <v>140</v>
      </c>
      <c r="D16" s="105"/>
      <c r="E16" s="109" t="s">
        <v>138</v>
      </c>
      <c r="F16" s="114" t="s">
        <v>24</v>
      </c>
      <c r="G16" s="117" t="s">
        <v>141</v>
      </c>
      <c r="H16" s="116" t="s">
        <v>78</v>
      </c>
      <c r="I16" s="105" t="s">
        <v>78</v>
      </c>
      <c r="J16" s="105" t="s">
        <v>78</v>
      </c>
      <c r="K16" s="105" t="s">
        <v>78</v>
      </c>
      <c r="L16" s="105" t="s">
        <v>78</v>
      </c>
      <c r="M16" s="105" t="s">
        <v>78</v>
      </c>
      <c r="N16" s="105">
        <v>1300000</v>
      </c>
      <c r="O16" s="159"/>
      <c r="P16" s="124">
        <f>N16</f>
        <v>1300000</v>
      </c>
      <c r="Q16" s="110" t="s">
        <v>114</v>
      </c>
      <c r="R16" s="110">
        <f>N16-S16</f>
        <v>-270000</v>
      </c>
      <c r="S16" s="56">
        <v>1570000</v>
      </c>
    </row>
    <row r="17" spans="1:20" ht="94.5" thickTop="1" thickBot="1" x14ac:dyDescent="0.3">
      <c r="A17" s="105">
        <v>5</v>
      </c>
      <c r="B17" s="108" t="s">
        <v>134</v>
      </c>
      <c r="C17" s="113" t="s">
        <v>137</v>
      </c>
      <c r="D17" s="105"/>
      <c r="E17" s="109" t="s">
        <v>138</v>
      </c>
      <c r="F17" s="114" t="s">
        <v>25</v>
      </c>
      <c r="G17" s="118" t="s">
        <v>25</v>
      </c>
      <c r="H17" s="116" t="s">
        <v>78</v>
      </c>
      <c r="I17" s="105" t="s">
        <v>78</v>
      </c>
      <c r="J17" s="105" t="s">
        <v>78</v>
      </c>
      <c r="K17" s="105" t="s">
        <v>78</v>
      </c>
      <c r="L17" s="105" t="s">
        <v>78</v>
      </c>
      <c r="M17" s="105" t="s">
        <v>78</v>
      </c>
      <c r="N17" s="105">
        <v>7500000</v>
      </c>
      <c r="O17" s="159"/>
      <c r="P17" s="124">
        <f>N17</f>
        <v>7500000</v>
      </c>
      <c r="Q17" s="110" t="s">
        <v>114</v>
      </c>
      <c r="R17" s="110">
        <f>N17-S17</f>
        <v>-7870</v>
      </c>
      <c r="S17" s="56">
        <v>7507870</v>
      </c>
      <c r="T17" s="56" t="s">
        <v>115</v>
      </c>
    </row>
    <row r="18" spans="1:20" ht="71.25" thickTop="1" thickBot="1" x14ac:dyDescent="0.3">
      <c r="A18" s="105">
        <v>7</v>
      </c>
      <c r="B18" s="123" t="s">
        <v>142</v>
      </c>
      <c r="C18" s="119" t="s">
        <v>143</v>
      </c>
      <c r="D18" s="105"/>
      <c r="E18" s="109" t="s">
        <v>138</v>
      </c>
      <c r="F18" s="120" t="s">
        <v>26</v>
      </c>
      <c r="G18" s="121" t="s">
        <v>144</v>
      </c>
      <c r="H18" s="105" t="s">
        <v>78</v>
      </c>
      <c r="I18" s="105" t="s">
        <v>78</v>
      </c>
      <c r="J18" s="105" t="s">
        <v>78</v>
      </c>
      <c r="K18" s="105" t="s">
        <v>78</v>
      </c>
      <c r="L18" s="105" t="s">
        <v>78</v>
      </c>
      <c r="M18" s="105" t="s">
        <v>78</v>
      </c>
      <c r="N18" s="111">
        <v>6300000</v>
      </c>
      <c r="O18" s="159"/>
      <c r="P18" s="124">
        <f>N18</f>
        <v>6300000</v>
      </c>
      <c r="Q18" s="110" t="s">
        <v>114</v>
      </c>
      <c r="R18" s="110"/>
    </row>
    <row r="19" spans="1:20" ht="24.75" thickTop="1" thickBot="1" x14ac:dyDescent="0.4">
      <c r="A19" s="161" t="s">
        <v>4</v>
      </c>
      <c r="B19" s="162"/>
      <c r="C19" s="162"/>
      <c r="D19" s="162"/>
      <c r="E19" s="162"/>
      <c r="F19" s="162"/>
      <c r="G19" s="163"/>
      <c r="H19" s="170">
        <f>SUM(H3:H18)</f>
        <v>14</v>
      </c>
      <c r="I19" s="170"/>
      <c r="J19" s="170"/>
      <c r="K19" s="111" t="s">
        <v>145</v>
      </c>
      <c r="L19" s="111">
        <f>SUM(L3:L18)</f>
        <v>1300000</v>
      </c>
      <c r="M19" s="111">
        <f>SUM(M3:M18)</f>
        <v>404400</v>
      </c>
      <c r="N19" s="124">
        <f>SUM(N15:N18)</f>
        <v>21594850</v>
      </c>
      <c r="O19" s="160"/>
      <c r="P19" s="111" t="s">
        <v>78</v>
      </c>
      <c r="Q19" s="122"/>
      <c r="R19" s="122"/>
    </row>
    <row r="20" spans="1:20" ht="24.75" thickTop="1" thickBot="1" x14ac:dyDescent="0.4">
      <c r="A20" s="164"/>
      <c r="B20" s="165"/>
      <c r="C20" s="165"/>
      <c r="D20" s="165"/>
      <c r="E20" s="165"/>
      <c r="F20" s="165"/>
      <c r="G20" s="166"/>
      <c r="H20" s="171"/>
      <c r="I20" s="171"/>
      <c r="J20" s="171"/>
      <c r="K20" s="111" t="s">
        <v>15</v>
      </c>
      <c r="L20" s="124">
        <f>L19*80</f>
        <v>104000000</v>
      </c>
      <c r="M20" s="124">
        <f>M19*80</f>
        <v>32352000</v>
      </c>
      <c r="N20" s="124">
        <f>N19</f>
        <v>21594850</v>
      </c>
      <c r="O20" s="124">
        <f>SUM(L20:N20)</f>
        <v>157946850</v>
      </c>
      <c r="P20" s="124">
        <f>SUM(P3:P18)</f>
        <v>157946850</v>
      </c>
      <c r="Q20" s="122"/>
      <c r="R20" s="122"/>
    </row>
    <row r="21" spans="1:20" ht="24.75" thickTop="1" thickBot="1" x14ac:dyDescent="0.4">
      <c r="A21" s="164"/>
      <c r="B21" s="165"/>
      <c r="C21" s="165"/>
      <c r="D21" s="165"/>
      <c r="E21" s="165"/>
      <c r="F21" s="165"/>
      <c r="G21" s="166"/>
      <c r="H21" s="171"/>
      <c r="I21" s="171"/>
      <c r="J21" s="171"/>
      <c r="K21" s="161"/>
      <c r="L21" s="162"/>
      <c r="M21" s="163"/>
      <c r="N21" s="111" t="s">
        <v>8</v>
      </c>
      <c r="O21" s="124">
        <v>1500000</v>
      </c>
      <c r="P21" s="124">
        <v>1500000</v>
      </c>
      <c r="Q21" s="122"/>
      <c r="R21" s="122"/>
    </row>
    <row r="22" spans="1:20" ht="24.75" thickTop="1" thickBot="1" x14ac:dyDescent="0.4">
      <c r="A22" s="167"/>
      <c r="B22" s="168"/>
      <c r="C22" s="168"/>
      <c r="D22" s="168"/>
      <c r="E22" s="168"/>
      <c r="F22" s="168"/>
      <c r="G22" s="169"/>
      <c r="H22" s="172"/>
      <c r="I22" s="172"/>
      <c r="J22" s="172"/>
      <c r="K22" s="167"/>
      <c r="L22" s="168"/>
      <c r="M22" s="169"/>
      <c r="N22" s="111" t="s">
        <v>9</v>
      </c>
      <c r="O22" s="124">
        <f>O21+O20</f>
        <v>159446850</v>
      </c>
      <c r="P22" s="124">
        <f>P20+P21</f>
        <v>159446850</v>
      </c>
      <c r="Q22" s="122"/>
      <c r="R22" s="122"/>
    </row>
    <row r="23" spans="1:20" ht="15.75" thickTop="1" x14ac:dyDescent="0.25">
      <c r="A23" s="57"/>
      <c r="B23" s="57"/>
      <c r="C23" s="57"/>
      <c r="D23" s="57"/>
      <c r="E23" s="57"/>
      <c r="F23" s="59"/>
      <c r="G23" s="60"/>
      <c r="H23" s="57"/>
      <c r="I23" s="57"/>
      <c r="J23" s="57"/>
      <c r="K23" s="57"/>
      <c r="L23" s="57"/>
    </row>
    <row r="24" spans="1:20" x14ac:dyDescent="0.25">
      <c r="A24" s="57"/>
      <c r="B24" s="57"/>
      <c r="C24" s="57"/>
      <c r="D24" s="57"/>
      <c r="E24" s="57"/>
      <c r="F24" s="59"/>
      <c r="G24" s="46"/>
      <c r="H24" s="47"/>
      <c r="I24" s="57"/>
      <c r="J24" s="57"/>
      <c r="K24" s="57"/>
      <c r="L24" s="57"/>
      <c r="O24" s="61"/>
      <c r="P24" s="61"/>
    </row>
    <row r="25" spans="1:20" x14ac:dyDescent="0.25">
      <c r="A25" s="57"/>
      <c r="B25" s="57"/>
      <c r="C25" s="57"/>
      <c r="D25" s="57"/>
      <c r="E25" s="57"/>
      <c r="F25" s="59"/>
      <c r="G25" s="60"/>
      <c r="H25" s="57"/>
      <c r="I25" s="57"/>
      <c r="J25" s="57"/>
      <c r="K25" s="57"/>
      <c r="L25" s="57"/>
    </row>
    <row r="26" spans="1:20" x14ac:dyDescent="0.25">
      <c r="A26" s="57"/>
      <c r="B26" s="57"/>
      <c r="C26" s="57"/>
      <c r="D26" s="57"/>
      <c r="E26" s="57"/>
      <c r="F26" s="59"/>
      <c r="G26" s="60"/>
      <c r="H26" s="57"/>
      <c r="I26" s="57"/>
      <c r="J26" s="57"/>
      <c r="K26" s="57"/>
      <c r="L26" s="57"/>
    </row>
  </sheetData>
  <mergeCells count="12">
    <mergeCell ref="A1:R1"/>
    <mergeCell ref="A4:A14"/>
    <mergeCell ref="B4:B14"/>
    <mergeCell ref="C4:C14"/>
    <mergeCell ref="D4:D14"/>
    <mergeCell ref="E4:E14"/>
    <mergeCell ref="O3:O19"/>
    <mergeCell ref="A19:G22"/>
    <mergeCell ref="H19:H22"/>
    <mergeCell ref="I19:I22"/>
    <mergeCell ref="J19:J22"/>
    <mergeCell ref="K21:M22"/>
  </mergeCells>
  <hyperlinks>
    <hyperlink ref="B3" r:id="rId1" xr:uid="{00000000-0004-0000-0200-000000000000}"/>
  </hyperlinks>
  <pageMargins left="0.7" right="0.7" top="0.75" bottom="0.75" header="0.3" footer="0.3"/>
  <pageSetup scale="2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B2:S23"/>
  <sheetViews>
    <sheetView zoomScale="85" zoomScaleNormal="85" workbookViewId="0">
      <selection activeCell="B10" sqref="B10"/>
    </sheetView>
  </sheetViews>
  <sheetFormatPr defaultRowHeight="17.45" customHeight="1" x14ac:dyDescent="0.25"/>
  <cols>
    <col min="1" max="1" width="2" style="6" customWidth="1"/>
    <col min="2" max="2" width="34.28515625" style="7" bestFit="1" customWidth="1"/>
    <col min="3" max="3" width="15" style="7" bestFit="1" customWidth="1"/>
    <col min="4" max="4" width="16.140625" style="7" bestFit="1" customWidth="1"/>
    <col min="5" max="5" width="15" style="7" bestFit="1" customWidth="1"/>
    <col min="6" max="6" width="64.85546875" style="7" bestFit="1" customWidth="1"/>
    <col min="7" max="7" width="16.140625" style="7" bestFit="1" customWidth="1"/>
    <col min="8" max="8" width="14.42578125" style="7" bestFit="1" customWidth="1"/>
    <col min="9" max="9" width="15" style="7" bestFit="1" customWidth="1"/>
    <col min="10" max="10" width="16.140625" style="7" bestFit="1" customWidth="1"/>
    <col min="11" max="11" width="14.42578125" style="7" bestFit="1" customWidth="1"/>
    <col min="12" max="12" width="17.85546875" style="7" bestFit="1" customWidth="1"/>
    <col min="13" max="13" width="22.7109375" style="7" bestFit="1" customWidth="1"/>
    <col min="14" max="14" width="14.42578125" style="7" bestFit="1" customWidth="1"/>
    <col min="15" max="15" width="15" style="6" hidden="1" customWidth="1"/>
    <col min="16" max="16" width="12" style="7" hidden="1" customWidth="1"/>
    <col min="17" max="17" width="14.42578125" style="7" hidden="1" customWidth="1"/>
    <col min="18" max="18" width="15.7109375" style="6" hidden="1" customWidth="1"/>
    <col min="19" max="19" width="31.42578125" style="6" hidden="1" customWidth="1"/>
    <col min="20" max="16384" width="9.140625" style="6"/>
  </cols>
  <sheetData>
    <row r="2" spans="2:19" ht="26.25" x14ac:dyDescent="0.25">
      <c r="B2" s="32" t="s">
        <v>107</v>
      </c>
    </row>
    <row r="4" spans="2:19" ht="24" thickBot="1" x14ac:dyDescent="0.3">
      <c r="B4" s="173" t="s">
        <v>108</v>
      </c>
      <c r="C4" s="174"/>
      <c r="D4" s="174"/>
      <c r="E4" s="174"/>
      <c r="F4" s="174"/>
      <c r="G4" s="174"/>
      <c r="H4" s="174"/>
      <c r="I4" s="174"/>
      <c r="J4" s="174"/>
      <c r="K4" s="174"/>
      <c r="L4" s="174"/>
      <c r="M4" s="174"/>
      <c r="N4" s="174"/>
      <c r="O4" s="174"/>
      <c r="P4" s="174"/>
      <c r="Q4" s="174"/>
      <c r="R4" s="174"/>
      <c r="S4" s="174"/>
    </row>
    <row r="5" spans="2:19" ht="17.45" customHeight="1" thickTop="1" thickBot="1" x14ac:dyDescent="0.3">
      <c r="B5" s="48" t="s">
        <v>109</v>
      </c>
      <c r="C5" s="36" t="s">
        <v>72</v>
      </c>
      <c r="D5" s="36" t="s">
        <v>165</v>
      </c>
      <c r="E5" s="36" t="s">
        <v>160</v>
      </c>
      <c r="F5" s="36" t="s">
        <v>73</v>
      </c>
      <c r="G5" s="36" t="s">
        <v>166</v>
      </c>
      <c r="H5" s="36" t="s">
        <v>160</v>
      </c>
      <c r="I5" s="36" t="s">
        <v>74</v>
      </c>
      <c r="J5" s="36" t="s">
        <v>167</v>
      </c>
      <c r="K5" s="36" t="s">
        <v>160</v>
      </c>
      <c r="L5" s="36" t="s">
        <v>110</v>
      </c>
      <c r="M5" s="36" t="s">
        <v>168</v>
      </c>
      <c r="N5" s="36" t="s">
        <v>160</v>
      </c>
      <c r="O5" s="36" t="s">
        <v>91</v>
      </c>
      <c r="P5" s="36" t="s">
        <v>158</v>
      </c>
      <c r="Q5" s="36" t="s">
        <v>160</v>
      </c>
      <c r="R5" s="36" t="s">
        <v>92</v>
      </c>
      <c r="S5" s="36" t="s">
        <v>117</v>
      </c>
    </row>
    <row r="6" spans="2:19" ht="17.45" customHeight="1" thickTop="1" thickBot="1" x14ac:dyDescent="0.3">
      <c r="B6" s="72" t="s">
        <v>10</v>
      </c>
      <c r="C6" s="79">
        <f>422*21000</f>
        <v>8862000</v>
      </c>
      <c r="D6" s="80">
        <f>('Cost Estimate by RK'!F5+'Cost Estimate by RK'!G5)*2</f>
        <v>204</v>
      </c>
      <c r="E6" s="79">
        <f>C6/D6</f>
        <v>43441.176470588238</v>
      </c>
      <c r="F6" s="81">
        <f>422*18000</f>
        <v>7596000</v>
      </c>
      <c r="G6" s="82">
        <f>('Cost Estimate by RK'!F11+'Cost Estimate by RK'!G11)*2</f>
        <v>186</v>
      </c>
      <c r="H6" s="81">
        <f>F6/G6</f>
        <v>40838.709677419356</v>
      </c>
      <c r="I6" s="83">
        <f>422*20000</f>
        <v>8440000</v>
      </c>
      <c r="J6" s="84">
        <f>('Cost Estimate by RK'!F17+'Cost Estimate by RK'!G17)*2</f>
        <v>186</v>
      </c>
      <c r="K6" s="83">
        <f>I6/J6</f>
        <v>45376.344086021505</v>
      </c>
      <c r="L6" s="75">
        <f t="shared" ref="L6:L10" si="0">SUM(C6:I6)</f>
        <v>24982669.886148006</v>
      </c>
      <c r="M6" s="76">
        <f>D6+G6+J6</f>
        <v>576</v>
      </c>
      <c r="N6" s="77">
        <f>L6/M6</f>
        <v>43372.690774562507</v>
      </c>
      <c r="O6" s="78">
        <f>SUM('Cost Estimate by RK'!L5,'Cost Estimate by RK'!L6,'Cost Estimate by RK'!L11,'Cost Estimate by RK'!L12,'Cost Estimate by RK'!L17,'Cost Estimate by RK'!L18)</f>
        <v>35901912.060000002</v>
      </c>
      <c r="P6" s="76">
        <f>SUM('Cost Estimate by RK'!$J$5:$J$6,'Cost Estimate by RK'!$J$11:$J$12,'Cost Estimate by RK'!$J$17:$J$18)</f>
        <v>69943.822199999995</v>
      </c>
      <c r="Q6" s="77">
        <f>O6/P6</f>
        <v>513.29639889196687</v>
      </c>
      <c r="R6" s="78">
        <f>O6-L6</f>
        <v>10919242.173851997</v>
      </c>
      <c r="S6" s="78" t="s">
        <v>161</v>
      </c>
    </row>
    <row r="7" spans="2:19" ht="17.45" customHeight="1" thickTop="1" thickBot="1" x14ac:dyDescent="0.3">
      <c r="B7" s="72" t="s">
        <v>11</v>
      </c>
      <c r="C7" s="79">
        <f>90*21000</f>
        <v>1890000</v>
      </c>
      <c r="D7" s="80">
        <f>'Cost Estimate by RK'!J7</f>
        <v>22302.800800000001</v>
      </c>
      <c r="E7" s="79">
        <f t="shared" ref="E7:E9" si="1">C7/D7</f>
        <v>84.74271984709651</v>
      </c>
      <c r="F7" s="81">
        <f>90*18000</f>
        <v>1620000</v>
      </c>
      <c r="G7" s="82">
        <f>'Cost Estimate by RK'!J13</f>
        <v>19590.297999999999</v>
      </c>
      <c r="H7" s="81">
        <f t="shared" ref="H7:H9" si="2">F7/G7</f>
        <v>82.693994751891992</v>
      </c>
      <c r="I7" s="83">
        <f>90*20000</f>
        <v>1800000</v>
      </c>
      <c r="J7" s="84">
        <f>'Cost Estimate by RK'!J19</f>
        <v>18750.713799999998</v>
      </c>
      <c r="K7" s="83">
        <f t="shared" ref="K7:K9" si="3">I7/J7</f>
        <v>95.996345483125026</v>
      </c>
      <c r="L7" s="75">
        <f t="shared" si="0"/>
        <v>5352060.5355145987</v>
      </c>
      <c r="M7" s="76">
        <f t="shared" ref="M7:M9" si="4">D7+G7+J7</f>
        <v>60643.812599999997</v>
      </c>
      <c r="N7" s="77">
        <f>L7/M7</f>
        <v>88.254024706794226</v>
      </c>
      <c r="O7" s="78">
        <f>SUM('Cost Estimate by RK'!L7,'Cost Estimate by RK'!L13,'Cost Estimate by RK'!L19)</f>
        <v>4548285.9450000003</v>
      </c>
      <c r="P7" s="76">
        <f>SUM('Cost Estimate by RK'!$J$7,'Cost Estimate by RK'!$J$13,'Cost Estimate by RK'!$J$19)</f>
        <v>60643.812599999997</v>
      </c>
      <c r="Q7" s="77">
        <f>O7/P7</f>
        <v>75.000000000000014</v>
      </c>
      <c r="R7" s="78">
        <f>O7-L7</f>
        <v>-803774.59051459841</v>
      </c>
      <c r="S7" s="78" t="s">
        <v>162</v>
      </c>
    </row>
    <row r="8" spans="2:19" ht="17.45" customHeight="1" thickTop="1" thickBot="1" x14ac:dyDescent="0.3">
      <c r="B8" s="72" t="s">
        <v>12</v>
      </c>
      <c r="C8" s="79">
        <v>200000</v>
      </c>
      <c r="D8" s="80" t="s">
        <v>78</v>
      </c>
      <c r="E8" s="79" t="s">
        <v>78</v>
      </c>
      <c r="F8" s="81">
        <v>100000</v>
      </c>
      <c r="G8" s="82" t="s">
        <v>78</v>
      </c>
      <c r="H8" s="81" t="s">
        <v>78</v>
      </c>
      <c r="I8" s="83">
        <v>200000</v>
      </c>
      <c r="J8" s="84" t="s">
        <v>78</v>
      </c>
      <c r="K8" s="83" t="s">
        <v>78</v>
      </c>
      <c r="L8" s="75">
        <f t="shared" si="0"/>
        <v>500000</v>
      </c>
      <c r="M8" s="76" t="s">
        <v>78</v>
      </c>
      <c r="N8" s="75" t="s">
        <v>78</v>
      </c>
      <c r="O8" s="75">
        <v>500000</v>
      </c>
      <c r="P8" s="76" t="s">
        <v>78</v>
      </c>
      <c r="Q8" s="75" t="s">
        <v>78</v>
      </c>
      <c r="R8" s="78" t="s">
        <v>78</v>
      </c>
      <c r="S8" s="78" t="s">
        <v>78</v>
      </c>
    </row>
    <row r="9" spans="2:19" ht="17.45" customHeight="1" thickTop="1" thickBot="1" x14ac:dyDescent="0.3">
      <c r="B9" s="72" t="s">
        <v>13</v>
      </c>
      <c r="C9" s="79">
        <f>75000*120</f>
        <v>9000000</v>
      </c>
      <c r="D9" s="80">
        <f>'Cost Estimate by RK'!J8</f>
        <v>6587.5068000000001</v>
      </c>
      <c r="E9" s="79">
        <f t="shared" si="1"/>
        <v>1366.2224986242138</v>
      </c>
      <c r="F9" s="81">
        <f>95000*120</f>
        <v>11400000</v>
      </c>
      <c r="G9" s="82">
        <f>'Cost Estimate by RK'!J14</f>
        <v>6006.2561999999998</v>
      </c>
      <c r="H9" s="81">
        <f t="shared" si="2"/>
        <v>1898.020933572564</v>
      </c>
      <c r="I9" s="83">
        <f>65000*120</f>
        <v>7800000</v>
      </c>
      <c r="J9" s="84">
        <f>'Cost Estimate by RK'!J20</f>
        <v>6006.2561999999998</v>
      </c>
      <c r="K9" s="83">
        <f t="shared" si="3"/>
        <v>1298.64590191807</v>
      </c>
      <c r="L9" s="75">
        <f t="shared" si="0"/>
        <v>28215858.006432194</v>
      </c>
      <c r="M9" s="76">
        <f t="shared" si="4"/>
        <v>18600.019199999999</v>
      </c>
      <c r="N9" s="77">
        <f>L9/M9</f>
        <v>1516.9800473341552</v>
      </c>
      <c r="O9" s="78">
        <f>SUM('Cost Estimate by RK'!L8,'Cost Estimate by RK'!L14,'Cost Estimate by RK'!L20)</f>
        <v>13620639.059999999</v>
      </c>
      <c r="P9" s="76">
        <f>SUM('Cost Estimate by RK'!$J$8,'Cost Estimate by RK'!$J$14,'Cost Estimate by RK'!$J$20)</f>
        <v>18600.019199999999</v>
      </c>
      <c r="Q9" s="77">
        <f>O9/P9</f>
        <v>732.29166666666663</v>
      </c>
      <c r="R9" s="78">
        <f>O9-L9</f>
        <v>-14595218.946432196</v>
      </c>
      <c r="S9" s="78" t="s">
        <v>163</v>
      </c>
    </row>
    <row r="10" spans="2:19" ht="17.45" customHeight="1" thickTop="1" thickBot="1" x14ac:dyDescent="0.3">
      <c r="B10" s="72" t="s">
        <v>17</v>
      </c>
      <c r="C10" s="79">
        <f>50*21000</f>
        <v>1050000</v>
      </c>
      <c r="D10" s="80" t="s">
        <v>78</v>
      </c>
      <c r="E10" s="79" t="s">
        <v>78</v>
      </c>
      <c r="F10" s="81">
        <f>50*18000</f>
        <v>900000</v>
      </c>
      <c r="G10" s="82" t="s">
        <v>78</v>
      </c>
      <c r="H10" s="81" t="s">
        <v>78</v>
      </c>
      <c r="I10" s="83">
        <f>95*18000</f>
        <v>1710000</v>
      </c>
      <c r="J10" s="84" t="s">
        <v>78</v>
      </c>
      <c r="K10" s="83" t="s">
        <v>78</v>
      </c>
      <c r="L10" s="75">
        <f t="shared" si="0"/>
        <v>3660000</v>
      </c>
      <c r="M10" s="76" t="s">
        <v>78</v>
      </c>
      <c r="N10" s="75" t="s">
        <v>78</v>
      </c>
      <c r="O10" s="78">
        <f>SUM('Cost Estimate by RK'!L9,'Cost Estimate by RK'!L15,'Cost Estimate by RK'!L21)</f>
        <v>7277257.5119999992</v>
      </c>
      <c r="P10" s="76" t="s">
        <v>78</v>
      </c>
      <c r="Q10" s="75" t="s">
        <v>78</v>
      </c>
      <c r="R10" s="78">
        <f>O10-L10</f>
        <v>3617257.5119999992</v>
      </c>
      <c r="S10" s="78" t="s">
        <v>78</v>
      </c>
    </row>
    <row r="11" spans="2:19" ht="17.45" customHeight="1" thickTop="1" thickBot="1" x14ac:dyDescent="0.3">
      <c r="B11" s="142"/>
      <c r="C11" s="143"/>
      <c r="D11" s="143"/>
      <c r="E11" s="143"/>
      <c r="F11" s="143"/>
      <c r="G11" s="143"/>
      <c r="H11" s="143"/>
      <c r="I11" s="143"/>
      <c r="J11" s="143"/>
      <c r="K11" s="143"/>
      <c r="L11" s="143"/>
      <c r="M11" s="143"/>
      <c r="N11" s="143"/>
      <c r="O11" s="143"/>
      <c r="P11" s="143"/>
      <c r="Q11" s="143"/>
      <c r="R11" s="143"/>
      <c r="S11" s="143"/>
    </row>
    <row r="12" spans="2:19" ht="17.45" customHeight="1" thickTop="1" thickBot="1" x14ac:dyDescent="0.3">
      <c r="B12" s="37" t="s">
        <v>14</v>
      </c>
      <c r="C12" s="38">
        <f>SUM(C6:C11)</f>
        <v>21002000</v>
      </c>
      <c r="D12" s="73"/>
      <c r="E12" s="38"/>
      <c r="F12" s="38">
        <f>SUM(F6:F11)</f>
        <v>21616000</v>
      </c>
      <c r="G12" s="38"/>
      <c r="H12" s="38"/>
      <c r="I12" s="38">
        <f>SUM(I6:I11)</f>
        <v>19950000</v>
      </c>
      <c r="J12" s="38"/>
      <c r="K12" s="38"/>
      <c r="L12" s="38">
        <f>SUM(L6:L10)</f>
        <v>62710588.428094804</v>
      </c>
      <c r="M12" s="74">
        <f>SUM(M6:M10)</f>
        <v>79819.8318</v>
      </c>
      <c r="N12" s="38"/>
      <c r="O12" s="38">
        <f>SUM(O6:O11)</f>
        <v>61848094.577</v>
      </c>
      <c r="P12" s="74">
        <f>SUM(P6:P10)</f>
        <v>149187.65400000001</v>
      </c>
      <c r="Q12" s="38"/>
      <c r="R12" s="38">
        <f>SUM(R6:R11)</f>
        <v>-862493.85109479818</v>
      </c>
      <c r="S12" s="38"/>
    </row>
    <row r="13" spans="2:19" ht="17.45" customHeight="1" thickTop="1" thickBot="1" x14ac:dyDescent="0.3">
      <c r="B13" s="37" t="s">
        <v>16</v>
      </c>
      <c r="C13" s="38">
        <f>C12/21000</f>
        <v>1000.0952380952381</v>
      </c>
      <c r="D13" s="38"/>
      <c r="E13" s="38"/>
      <c r="F13" s="38">
        <f>F12/18000</f>
        <v>1200.8888888888889</v>
      </c>
      <c r="G13" s="38"/>
      <c r="H13" s="38"/>
      <c r="I13" s="38">
        <f>I12/20000</f>
        <v>997.5</v>
      </c>
      <c r="J13" s="38"/>
      <c r="K13" s="38"/>
      <c r="L13" s="38">
        <f>L12/59000</f>
        <v>1062.8913292897425</v>
      </c>
      <c r="M13" s="38"/>
      <c r="N13" s="38"/>
      <c r="O13" s="39">
        <f>O12/59000</f>
        <v>1048.272789440678</v>
      </c>
      <c r="P13" s="38"/>
      <c r="Q13" s="38"/>
      <c r="R13" s="39">
        <f>R12/59000</f>
        <v>-14.618539849064376</v>
      </c>
      <c r="S13" s="39"/>
    </row>
    <row r="14" spans="2:19" ht="17.45" customHeight="1" thickTop="1" thickBot="1" x14ac:dyDescent="0.3"/>
    <row r="15" spans="2:19" ht="17.45" customHeight="1" thickTop="1" thickBot="1" x14ac:dyDescent="0.3">
      <c r="B15" s="72" t="s">
        <v>169</v>
      </c>
      <c r="C15" s="79">
        <f>422*21000</f>
        <v>8862000</v>
      </c>
      <c r="D15" s="80">
        <f>'Cost Estimate by RK'!J5</f>
        <v>3293.7534000000001</v>
      </c>
      <c r="E15" s="79">
        <f>C15/D15</f>
        <v>2690.5475072906188</v>
      </c>
      <c r="F15" s="81">
        <f>422*18000</f>
        <v>7596000</v>
      </c>
      <c r="G15" s="82">
        <f>'Cost Estimate by RK'!J11</f>
        <v>3003.1280999999999</v>
      </c>
      <c r="H15" s="81">
        <f>F15/G15</f>
        <v>2529.362633581964</v>
      </c>
      <c r="I15" s="83">
        <f>422*20000</f>
        <v>8440000</v>
      </c>
      <c r="J15" s="84">
        <f>'Cost Estimate by RK'!J17</f>
        <v>3003.1280999999999</v>
      </c>
      <c r="K15" s="83">
        <f>I15/J15</f>
        <v>2810.4029262021822</v>
      </c>
      <c r="L15" s="75">
        <f t="shared" ref="L15" si="5">SUM(C15:I15)</f>
        <v>24909516.79164087</v>
      </c>
      <c r="M15" s="76">
        <f>D15+G15+J15</f>
        <v>9300.0095999999994</v>
      </c>
      <c r="N15" s="77">
        <f>L15/M15</f>
        <v>2678.4399009266476</v>
      </c>
    </row>
    <row r="16" spans="2:19" ht="17.45" customHeight="1" thickTop="1" x14ac:dyDescent="0.25"/>
    <row r="17" spans="2:9" ht="17.45" customHeight="1" thickBot="1" x14ac:dyDescent="0.3"/>
    <row r="18" spans="2:9" ht="33" thickTop="1" thickBot="1" x14ac:dyDescent="0.3">
      <c r="B18" s="87" t="s">
        <v>111</v>
      </c>
      <c r="C18" s="88" t="s">
        <v>69</v>
      </c>
      <c r="D18" s="87" t="s">
        <v>170</v>
      </c>
      <c r="E18" s="87" t="s">
        <v>171</v>
      </c>
      <c r="F18" s="87" t="s">
        <v>83</v>
      </c>
    </row>
    <row r="19" spans="2:9" ht="196.5" thickTop="1" thickBot="1" x14ac:dyDescent="0.3">
      <c r="B19" s="89" t="s">
        <v>72</v>
      </c>
      <c r="C19" s="90">
        <v>21000</v>
      </c>
      <c r="D19" s="91">
        <f>C12</f>
        <v>21002000</v>
      </c>
      <c r="E19" s="91">
        <v>21002000</v>
      </c>
      <c r="F19" s="92" t="s">
        <v>173</v>
      </c>
      <c r="G19" s="86">
        <f>C6+C7+C8+C10</f>
        <v>12002000</v>
      </c>
      <c r="H19" s="86">
        <f>G19/C19</f>
        <v>571.52380952380952</v>
      </c>
      <c r="I19" s="86">
        <f>C9/C19</f>
        <v>428.57142857142856</v>
      </c>
    </row>
    <row r="20" spans="2:9" ht="196.5" thickTop="1" thickBot="1" x14ac:dyDescent="0.3">
      <c r="B20" s="89" t="s">
        <v>73</v>
      </c>
      <c r="C20" s="90">
        <v>18000</v>
      </c>
      <c r="D20" s="91">
        <f>F12</f>
        <v>21616000</v>
      </c>
      <c r="E20" s="91">
        <v>21616000</v>
      </c>
      <c r="F20" s="92" t="s">
        <v>177</v>
      </c>
      <c r="G20" s="86">
        <f>SUM(F6,F7,F8,F10)</f>
        <v>10216000</v>
      </c>
      <c r="H20" s="86">
        <f>G20/C20</f>
        <v>567.55555555555554</v>
      </c>
      <c r="I20" s="86">
        <f>F9/C20</f>
        <v>633.33333333333337</v>
      </c>
    </row>
    <row r="21" spans="2:9" ht="211.5" thickTop="1" thickBot="1" x14ac:dyDescent="0.3">
      <c r="B21" s="93" t="s">
        <v>74</v>
      </c>
      <c r="C21" s="94">
        <v>20000</v>
      </c>
      <c r="D21" s="95">
        <f>I12</f>
        <v>19950000</v>
      </c>
      <c r="E21" s="95">
        <v>19950000</v>
      </c>
      <c r="F21" s="96" t="s">
        <v>172</v>
      </c>
      <c r="G21" s="86">
        <f>SUM(I6,I7,I8,I10)</f>
        <v>12150000</v>
      </c>
      <c r="H21" s="86">
        <f>G21/C21</f>
        <v>607.5</v>
      </c>
      <c r="I21" s="86">
        <f>I9/C21</f>
        <v>390</v>
      </c>
    </row>
    <row r="22" spans="2:9" ht="46.5" thickTop="1" thickBot="1" x14ac:dyDescent="0.3">
      <c r="B22" s="97" t="s">
        <v>175</v>
      </c>
      <c r="C22" s="98">
        <f>SUM(C19:C21)</f>
        <v>59000</v>
      </c>
      <c r="D22" s="98">
        <f>SUM(D19:D21)</f>
        <v>62568000</v>
      </c>
      <c r="E22" s="98">
        <f>SUM(E19:E21)</f>
        <v>62568000</v>
      </c>
      <c r="F22" s="99" t="s">
        <v>176</v>
      </c>
    </row>
    <row r="23" spans="2:9" ht="17.45" customHeight="1" thickTop="1" x14ac:dyDescent="0.25"/>
  </sheetData>
  <mergeCells count="2">
    <mergeCell ref="B4:S4"/>
    <mergeCell ref="B11:S11"/>
  </mergeCells>
  <phoneticPr fontId="15" type="noConversion"/>
  <pageMargins left="0.7" right="0.7" top="0.75" bottom="0.75" header="0.3" footer="0.3"/>
  <pageSetup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B2:D8"/>
  <sheetViews>
    <sheetView workbookViewId="0">
      <selection sqref="A1:R1"/>
    </sheetView>
  </sheetViews>
  <sheetFormatPr defaultRowHeight="17.45" customHeight="1" x14ac:dyDescent="0.25"/>
  <cols>
    <col min="1" max="1" width="2" style="6" customWidth="1"/>
    <col min="2" max="2" width="21.42578125" style="7" bestFit="1" customWidth="1"/>
    <col min="3" max="3" width="20.85546875" style="7" customWidth="1"/>
    <col min="4" max="4" width="10.85546875" style="6" bestFit="1" customWidth="1"/>
    <col min="5" max="16384" width="9.140625" style="6"/>
  </cols>
  <sheetData>
    <row r="2" spans="2:4" ht="17.100000000000001" customHeight="1" x14ac:dyDescent="0.25">
      <c r="B2" s="175" t="s">
        <v>21</v>
      </c>
      <c r="C2" s="176"/>
    </row>
    <row r="3" spans="2:4" ht="17.45" customHeight="1" x14ac:dyDescent="0.25">
      <c r="B3" s="177"/>
      <c r="C3" s="178"/>
    </row>
    <row r="4" spans="2:4" ht="17.45" customHeight="1" x14ac:dyDescent="0.25">
      <c r="B4" s="12"/>
      <c r="C4" s="11" t="s">
        <v>66</v>
      </c>
    </row>
    <row r="5" spans="2:4" ht="17.45" customHeight="1" x14ac:dyDescent="0.25">
      <c r="B5" s="8" t="s">
        <v>18</v>
      </c>
      <c r="C5" s="9">
        <f>80*25020</f>
        <v>2001600</v>
      </c>
    </row>
    <row r="6" spans="2:4" ht="17.45" customHeight="1" x14ac:dyDescent="0.25">
      <c r="B6" s="30" t="s">
        <v>14</v>
      </c>
      <c r="C6" s="30">
        <f>SUM(C5:C5)</f>
        <v>2001600</v>
      </c>
      <c r="D6" s="40"/>
    </row>
    <row r="7" spans="2:4" ht="17.45" customHeight="1" x14ac:dyDescent="0.25">
      <c r="B7" s="30" t="s">
        <v>16</v>
      </c>
      <c r="C7" s="30">
        <f>C6/25020</f>
        <v>80</v>
      </c>
    </row>
    <row r="8" spans="2:4" ht="15" x14ac:dyDescent="0.25"/>
  </sheetData>
  <mergeCells count="1">
    <mergeCell ref="B2:C3"/>
  </mergeCells>
  <pageMargins left="0.7" right="0.7" top="0.75" bottom="0.75" header="0.3" footer="0.3"/>
  <pageSetup paperSize="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B2:D7"/>
  <sheetViews>
    <sheetView workbookViewId="0">
      <selection sqref="A1:R1"/>
    </sheetView>
  </sheetViews>
  <sheetFormatPr defaultRowHeight="17.45" customHeight="1" x14ac:dyDescent="0.25"/>
  <cols>
    <col min="1" max="1" width="2" style="6" customWidth="1"/>
    <col min="2" max="2" width="21.42578125" style="7" bestFit="1" customWidth="1"/>
    <col min="3" max="3" width="20.85546875" style="7" customWidth="1"/>
    <col min="4" max="4" width="10.85546875" style="6" bestFit="1" customWidth="1"/>
    <col min="5" max="16384" width="9.140625" style="6"/>
  </cols>
  <sheetData>
    <row r="2" spans="2:4" ht="17.100000000000001" customHeight="1" x14ac:dyDescent="0.25">
      <c r="B2" s="175" t="s">
        <v>22</v>
      </c>
      <c r="C2" s="176"/>
    </row>
    <row r="3" spans="2:4" ht="17.45" customHeight="1" x14ac:dyDescent="0.25">
      <c r="B3" s="177"/>
      <c r="C3" s="178"/>
    </row>
    <row r="4" spans="2:4" ht="17.45" customHeight="1" x14ac:dyDescent="0.25">
      <c r="B4" s="12"/>
      <c r="C4" s="11" t="s">
        <v>23</v>
      </c>
    </row>
    <row r="5" spans="2:4" ht="17.45" customHeight="1" x14ac:dyDescent="0.25">
      <c r="B5" s="8" t="s">
        <v>19</v>
      </c>
      <c r="C5" s="9">
        <f>20*50000</f>
        <v>1000000</v>
      </c>
    </row>
    <row r="6" spans="2:4" ht="17.45" customHeight="1" x14ac:dyDescent="0.25">
      <c r="B6" s="30" t="s">
        <v>14</v>
      </c>
      <c r="C6" s="31">
        <f>20*50000</f>
        <v>1000000</v>
      </c>
      <c r="D6" s="40"/>
    </row>
    <row r="7" spans="2:4" ht="17.45" customHeight="1" x14ac:dyDescent="0.25">
      <c r="B7" s="30" t="s">
        <v>16</v>
      </c>
      <c r="C7" s="30">
        <f>C6/50000</f>
        <v>20</v>
      </c>
    </row>
  </sheetData>
  <mergeCells count="1">
    <mergeCell ref="B2:C3"/>
  </mergeCells>
  <pageMargins left="0.7" right="0.7" top="0.75" bottom="0.75" header="0.3" footer="0.3"/>
  <pageSetup paperSize="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B2:E12"/>
  <sheetViews>
    <sheetView workbookViewId="0">
      <selection activeCell="D4" sqref="D4:D9"/>
    </sheetView>
  </sheetViews>
  <sheetFormatPr defaultRowHeight="17.45" customHeight="1" x14ac:dyDescent="0.25"/>
  <cols>
    <col min="2" max="2" width="21.42578125" style="1" bestFit="1" customWidth="1"/>
    <col min="3" max="3" width="20.85546875" style="1" customWidth="1"/>
    <col min="4" max="4" width="15" bestFit="1" customWidth="1"/>
    <col min="5" max="5" width="13.42578125" bestFit="1" customWidth="1"/>
  </cols>
  <sheetData>
    <row r="2" spans="2:5" ht="21.75" customHeight="1" x14ac:dyDescent="0.25">
      <c r="B2" s="202" t="s">
        <v>188</v>
      </c>
      <c r="C2" s="203"/>
      <c r="D2" s="203"/>
      <c r="E2" s="204"/>
    </row>
    <row r="3" spans="2:5" ht="17.45" customHeight="1" x14ac:dyDescent="0.25">
      <c r="B3" s="43" t="s">
        <v>111</v>
      </c>
      <c r="C3" s="43" t="s">
        <v>112</v>
      </c>
      <c r="D3" s="43" t="s">
        <v>113</v>
      </c>
      <c r="E3" s="43" t="s">
        <v>89</v>
      </c>
    </row>
    <row r="4" spans="2:5" ht="17.45" customHeight="1" x14ac:dyDescent="0.25">
      <c r="B4" s="3" t="s">
        <v>27</v>
      </c>
      <c r="C4" s="42">
        <v>1700000</v>
      </c>
      <c r="D4" s="179">
        <f>Summary!D11</f>
        <v>8133840</v>
      </c>
      <c r="E4" s="179">
        <f>D4-(SUM(C4:C9))</f>
        <v>-616160</v>
      </c>
    </row>
    <row r="5" spans="2:5" ht="17.45" customHeight="1" x14ac:dyDescent="0.25">
      <c r="B5" s="3" t="s">
        <v>53</v>
      </c>
      <c r="C5" s="42">
        <v>1500000</v>
      </c>
      <c r="D5" s="179"/>
      <c r="E5" s="179"/>
    </row>
    <row r="6" spans="2:5" ht="17.45" customHeight="1" x14ac:dyDescent="0.25">
      <c r="B6" s="3" t="s">
        <v>54</v>
      </c>
      <c r="C6" s="42">
        <v>350000</v>
      </c>
      <c r="D6" s="179"/>
      <c r="E6" s="179"/>
    </row>
    <row r="7" spans="2:5" ht="17.45" customHeight="1" x14ac:dyDescent="0.25">
      <c r="B7" s="3" t="s">
        <v>28</v>
      </c>
      <c r="C7" s="42">
        <v>3000000</v>
      </c>
      <c r="D7" s="179"/>
      <c r="E7" s="179"/>
    </row>
    <row r="8" spans="2:5" ht="17.45" customHeight="1" x14ac:dyDescent="0.25">
      <c r="B8" s="3" t="s">
        <v>29</v>
      </c>
      <c r="C8" s="42">
        <v>2000000</v>
      </c>
      <c r="D8" s="179"/>
      <c r="E8" s="179"/>
    </row>
    <row r="9" spans="2:5" ht="17.45" customHeight="1" x14ac:dyDescent="0.25">
      <c r="B9" s="3" t="s">
        <v>31</v>
      </c>
      <c r="C9" s="42">
        <v>200000</v>
      </c>
      <c r="D9" s="179"/>
      <c r="E9" s="179"/>
    </row>
    <row r="10" spans="2:5" ht="17.45" customHeight="1" x14ac:dyDescent="0.25">
      <c r="B10" s="180"/>
      <c r="C10" s="181"/>
      <c r="D10" s="181"/>
      <c r="E10" s="182"/>
    </row>
    <row r="11" spans="2:5" ht="17.45" customHeight="1" x14ac:dyDescent="0.25">
      <c r="B11" s="30" t="s">
        <v>14</v>
      </c>
      <c r="C11" s="44">
        <f>SUM(C4:C10)</f>
        <v>8750000</v>
      </c>
      <c r="D11" s="44">
        <f t="shared" ref="D11:E11" si="0">SUM(D4:D10)</f>
        <v>8133840</v>
      </c>
      <c r="E11" s="44">
        <f t="shared" si="0"/>
        <v>-616160</v>
      </c>
    </row>
    <row r="12" spans="2:5" ht="17.45" customHeight="1" x14ac:dyDescent="0.25">
      <c r="B12" s="206" t="s">
        <v>190</v>
      </c>
      <c r="C12" s="206"/>
      <c r="D12" s="206"/>
      <c r="E12" s="206"/>
    </row>
  </sheetData>
  <mergeCells count="5">
    <mergeCell ref="D4:D9"/>
    <mergeCell ref="E4:E9"/>
    <mergeCell ref="B10:E10"/>
    <mergeCell ref="B2:E2"/>
    <mergeCell ref="B12:E1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B2:D8"/>
  <sheetViews>
    <sheetView workbookViewId="0">
      <selection sqref="A1:R1"/>
    </sheetView>
  </sheetViews>
  <sheetFormatPr defaultRowHeight="17.45" customHeight="1" x14ac:dyDescent="0.25"/>
  <cols>
    <col min="1" max="1" width="2" style="6" customWidth="1"/>
    <col min="2" max="2" width="21.42578125" style="7" bestFit="1" customWidth="1"/>
    <col min="3" max="3" width="20.85546875" style="7" customWidth="1"/>
    <col min="4" max="4" width="10.85546875" style="6" bestFit="1" customWidth="1"/>
    <col min="5" max="16384" width="9.140625" style="6"/>
  </cols>
  <sheetData>
    <row r="2" spans="2:4" ht="17.100000000000001" customHeight="1" x14ac:dyDescent="0.25">
      <c r="B2" s="175" t="s">
        <v>57</v>
      </c>
      <c r="C2" s="176"/>
    </row>
    <row r="3" spans="2:4" ht="17.45" customHeight="1" x14ac:dyDescent="0.25">
      <c r="B3" s="177"/>
      <c r="C3" s="178"/>
    </row>
    <row r="4" spans="2:4" ht="17.45" customHeight="1" x14ac:dyDescent="0.25">
      <c r="B4" s="12"/>
      <c r="C4" s="11" t="s">
        <v>67</v>
      </c>
    </row>
    <row r="5" spans="2:4" ht="17.45" customHeight="1" x14ac:dyDescent="0.25">
      <c r="B5" s="8" t="s">
        <v>20</v>
      </c>
      <c r="C5" s="9">
        <f>900*4000</f>
        <v>3600000</v>
      </c>
    </row>
    <row r="6" spans="2:4" ht="17.45" customHeight="1" x14ac:dyDescent="0.25">
      <c r="B6" s="8" t="s">
        <v>60</v>
      </c>
      <c r="C6" s="9">
        <v>500000</v>
      </c>
    </row>
    <row r="7" spans="2:4" ht="17.45" customHeight="1" x14ac:dyDescent="0.25">
      <c r="B7" s="8" t="s">
        <v>58</v>
      </c>
      <c r="C7" s="9">
        <v>500000</v>
      </c>
    </row>
    <row r="8" spans="2:4" ht="17.45" customHeight="1" x14ac:dyDescent="0.25">
      <c r="B8" s="30" t="s">
        <v>14</v>
      </c>
      <c r="C8" s="30">
        <f>SUM(C5:C7)</f>
        <v>4600000</v>
      </c>
      <c r="D8" s="40"/>
    </row>
  </sheetData>
  <mergeCells count="1">
    <mergeCell ref="B2:C3"/>
  </mergeCells>
  <pageMargins left="0.7" right="0.7" top="0.75" bottom="0.75" header="0.3" footer="0.3"/>
  <pageSetup paperSize="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B2:Q27"/>
  <sheetViews>
    <sheetView zoomScale="85" zoomScaleNormal="85" workbookViewId="0">
      <pane ySplit="4" topLeftCell="A5" activePane="bottomLeft" state="frozen"/>
      <selection pane="bottomLeft" activeCell="J18" activeCellId="2" sqref="J7 J13 J18"/>
    </sheetView>
  </sheetViews>
  <sheetFormatPr defaultRowHeight="15" x14ac:dyDescent="0.25"/>
  <cols>
    <col min="1" max="1" width="2" style="6" customWidth="1"/>
    <col min="2" max="2" width="7.5703125" style="7" bestFit="1" customWidth="1"/>
    <col min="3" max="3" width="17" style="6" bestFit="1" customWidth="1"/>
    <col min="4" max="4" width="22" style="6" customWidth="1"/>
    <col min="5" max="5" width="26.7109375" style="13" bestFit="1" customWidth="1"/>
    <col min="6" max="6" width="11.7109375" style="6" bestFit="1" customWidth="1"/>
    <col min="7" max="7" width="11" style="6" customWidth="1"/>
    <col min="8" max="8" width="11.42578125" style="6" bestFit="1" customWidth="1"/>
    <col min="9" max="9" width="15.5703125" style="6" bestFit="1" customWidth="1"/>
    <col min="10" max="10" width="13.5703125" style="6" bestFit="1" customWidth="1"/>
    <col min="11" max="11" width="9.7109375" style="14" bestFit="1" customWidth="1"/>
    <col min="12" max="12" width="17.5703125" style="14" bestFit="1" customWidth="1"/>
    <col min="13" max="13" width="21.42578125" style="6" bestFit="1" customWidth="1"/>
    <col min="14" max="14" width="17.5703125" style="6" bestFit="1" customWidth="1"/>
    <col min="15" max="15" width="38.28515625" style="6" customWidth="1"/>
    <col min="16" max="17" width="15" style="6" bestFit="1" customWidth="1"/>
    <col min="18" max="16384" width="9.140625" style="6"/>
  </cols>
  <sheetData>
    <row r="2" spans="2:17" ht="26.25" x14ac:dyDescent="0.25">
      <c r="B2" s="187" t="s">
        <v>97</v>
      </c>
      <c r="C2" s="187"/>
      <c r="D2" s="187"/>
      <c r="E2" s="187"/>
      <c r="F2" s="187"/>
      <c r="G2" s="187"/>
      <c r="H2" s="187"/>
      <c r="I2" s="187"/>
      <c r="J2" s="187"/>
      <c r="K2" s="187"/>
      <c r="L2" s="187"/>
      <c r="M2" s="187"/>
      <c r="N2" s="187"/>
      <c r="O2" s="187"/>
    </row>
    <row r="3" spans="2:17" ht="15.75" thickBot="1" x14ac:dyDescent="0.3"/>
    <row r="4" spans="2:17" ht="17.25" thickTop="1" thickBot="1" x14ac:dyDescent="0.3">
      <c r="B4" s="28" t="s">
        <v>68</v>
      </c>
      <c r="C4" s="28" t="s">
        <v>102</v>
      </c>
      <c r="D4" s="28" t="s">
        <v>154</v>
      </c>
      <c r="E4" s="29" t="s">
        <v>155</v>
      </c>
      <c r="F4" s="28" t="s">
        <v>82</v>
      </c>
      <c r="G4" s="28" t="s">
        <v>81</v>
      </c>
      <c r="H4" s="28" t="s">
        <v>80</v>
      </c>
      <c r="I4" s="28" t="s">
        <v>70</v>
      </c>
      <c r="J4" s="28" t="s">
        <v>69</v>
      </c>
      <c r="K4" s="28" t="s">
        <v>71</v>
      </c>
      <c r="L4" s="28" t="s">
        <v>87</v>
      </c>
      <c r="M4" s="28" t="s">
        <v>88</v>
      </c>
      <c r="N4" s="28" t="s">
        <v>89</v>
      </c>
      <c r="O4" s="29" t="s">
        <v>83</v>
      </c>
    </row>
    <row r="5" spans="2:17" ht="46.5" thickTop="1" thickBot="1" x14ac:dyDescent="0.3">
      <c r="B5" s="195">
        <v>1</v>
      </c>
      <c r="C5" s="195" t="s">
        <v>72</v>
      </c>
      <c r="D5" s="190" t="s">
        <v>10</v>
      </c>
      <c r="E5" s="16" t="s">
        <v>150</v>
      </c>
      <c r="F5" s="17">
        <v>74</v>
      </c>
      <c r="G5" s="17">
        <v>28</v>
      </c>
      <c r="H5" s="18">
        <v>3</v>
      </c>
      <c r="I5" s="19">
        <f>(F5*H5)+(G5*H5)</f>
        <v>306</v>
      </c>
      <c r="J5" s="19">
        <f>I5*10.7639</f>
        <v>3293.7534000000001</v>
      </c>
      <c r="K5" s="20">
        <v>600</v>
      </c>
      <c r="L5" s="41">
        <f>J5*K5</f>
        <v>1976252.04</v>
      </c>
      <c r="M5" s="183">
        <f>'Building Costing'!L12</f>
        <v>62710588.428094804</v>
      </c>
      <c r="N5" s="183">
        <f>SUM(L5:L22)-M5</f>
        <v>-862493.85109481215</v>
      </c>
      <c r="O5" s="21" t="s">
        <v>98</v>
      </c>
      <c r="P5" s="10"/>
      <c r="Q5" s="10"/>
    </row>
    <row r="6" spans="2:17" ht="46.5" thickTop="1" thickBot="1" x14ac:dyDescent="0.3">
      <c r="B6" s="196"/>
      <c r="C6" s="196"/>
      <c r="D6" s="191"/>
      <c r="E6" s="16" t="s">
        <v>84</v>
      </c>
      <c r="F6" s="17">
        <v>74</v>
      </c>
      <c r="G6" s="17">
        <v>28</v>
      </c>
      <c r="H6" s="18" t="s">
        <v>78</v>
      </c>
      <c r="I6" s="19">
        <f>F6*G6</f>
        <v>2072</v>
      </c>
      <c r="J6" s="19">
        <f>I6*10.7639</f>
        <v>22302.800800000001</v>
      </c>
      <c r="K6" s="20">
        <v>500</v>
      </c>
      <c r="L6" s="41">
        <f>J6*K6</f>
        <v>11151400.4</v>
      </c>
      <c r="M6" s="184"/>
      <c r="N6" s="184"/>
      <c r="O6" s="21" t="s">
        <v>96</v>
      </c>
      <c r="Q6" s="10"/>
    </row>
    <row r="7" spans="2:17" ht="31.5" thickTop="1" thickBot="1" x14ac:dyDescent="0.3">
      <c r="B7" s="196"/>
      <c r="C7" s="196"/>
      <c r="D7" s="54" t="s">
        <v>148</v>
      </c>
      <c r="E7" s="22" t="s">
        <v>76</v>
      </c>
      <c r="F7" s="17">
        <v>74</v>
      </c>
      <c r="G7" s="17">
        <v>28</v>
      </c>
      <c r="H7" s="18">
        <v>0.125</v>
      </c>
      <c r="I7" s="19">
        <f>F7*G7</f>
        <v>2072</v>
      </c>
      <c r="J7" s="19">
        <f>I7*10.7639</f>
        <v>22302.800800000001</v>
      </c>
      <c r="K7" s="20">
        <v>75</v>
      </c>
      <c r="L7" s="41">
        <f>J7*K7</f>
        <v>1672710.06</v>
      </c>
      <c r="M7" s="184"/>
      <c r="N7" s="184"/>
      <c r="O7" s="21" t="s">
        <v>95</v>
      </c>
    </row>
    <row r="8" spans="2:17" ht="31.5" thickTop="1" thickBot="1" x14ac:dyDescent="0.3">
      <c r="B8" s="196"/>
      <c r="C8" s="196"/>
      <c r="D8" s="69" t="s">
        <v>159</v>
      </c>
      <c r="E8" s="16" t="s">
        <v>75</v>
      </c>
      <c r="F8" s="17">
        <v>74</v>
      </c>
      <c r="G8" s="17">
        <v>28</v>
      </c>
      <c r="H8" s="18">
        <v>6</v>
      </c>
      <c r="I8" s="19">
        <f>(F8*H8)+(G8*H8)</f>
        <v>612</v>
      </c>
      <c r="J8" s="19">
        <f t="shared" ref="J8:J21" si="0">I8*10.7639</f>
        <v>6587.5068000000001</v>
      </c>
      <c r="K8" s="20">
        <v>700</v>
      </c>
      <c r="L8" s="41">
        <f t="shared" ref="L8:L21" si="1">J8*K8</f>
        <v>4611254.76</v>
      </c>
      <c r="M8" s="184"/>
      <c r="N8" s="184"/>
      <c r="O8" s="21" t="s">
        <v>103</v>
      </c>
    </row>
    <row r="9" spans="2:17" ht="31.5" thickTop="1" thickBot="1" x14ac:dyDescent="0.3">
      <c r="B9" s="196"/>
      <c r="C9" s="196"/>
      <c r="D9" s="54" t="s">
        <v>77</v>
      </c>
      <c r="E9" s="22" t="s">
        <v>77</v>
      </c>
      <c r="F9" s="17">
        <v>74</v>
      </c>
      <c r="G9" s="17">
        <v>28</v>
      </c>
      <c r="H9" s="18">
        <v>0</v>
      </c>
      <c r="I9" s="19">
        <f t="shared" ref="I9" si="2">F9*G9</f>
        <v>2072</v>
      </c>
      <c r="J9" s="19">
        <f t="shared" si="0"/>
        <v>22302.800800000001</v>
      </c>
      <c r="K9" s="20">
        <v>120</v>
      </c>
      <c r="L9" s="41">
        <f t="shared" si="1"/>
        <v>2676336.0959999999</v>
      </c>
      <c r="M9" s="184"/>
      <c r="N9" s="184"/>
      <c r="O9" s="21" t="s">
        <v>105</v>
      </c>
    </row>
    <row r="10" spans="2:17" ht="31.5" thickTop="1" thickBot="1" x14ac:dyDescent="0.3">
      <c r="B10" s="197"/>
      <c r="C10" s="197"/>
      <c r="D10" s="70" t="s">
        <v>151</v>
      </c>
      <c r="E10" s="70" t="s">
        <v>151</v>
      </c>
      <c r="F10" s="17" t="s">
        <v>78</v>
      </c>
      <c r="G10" s="17" t="s">
        <v>78</v>
      </c>
      <c r="H10" s="18" t="s">
        <v>78</v>
      </c>
      <c r="I10" s="19" t="s">
        <v>78</v>
      </c>
      <c r="J10" s="19" t="s">
        <v>78</v>
      </c>
      <c r="K10" s="20" t="s">
        <v>78</v>
      </c>
      <c r="L10" s="41">
        <v>200000</v>
      </c>
      <c r="M10" s="184"/>
      <c r="N10" s="184"/>
      <c r="O10" s="21" t="s">
        <v>152</v>
      </c>
    </row>
    <row r="11" spans="2:17" ht="46.5" thickTop="1" thickBot="1" x14ac:dyDescent="0.3">
      <c r="B11" s="195">
        <v>2</v>
      </c>
      <c r="C11" s="195" t="s">
        <v>73</v>
      </c>
      <c r="D11" s="190" t="s">
        <v>10</v>
      </c>
      <c r="E11" s="16" t="s">
        <v>150</v>
      </c>
      <c r="F11" s="17">
        <v>65</v>
      </c>
      <c r="G11" s="17">
        <v>28</v>
      </c>
      <c r="H11" s="18">
        <v>3</v>
      </c>
      <c r="I11" s="19">
        <f>(F11*H11)+(G11*H11)</f>
        <v>279</v>
      </c>
      <c r="J11" s="19">
        <f t="shared" si="0"/>
        <v>3003.1280999999999</v>
      </c>
      <c r="K11" s="20">
        <v>600</v>
      </c>
      <c r="L11" s="41">
        <f t="shared" si="1"/>
        <v>1801876.8599999999</v>
      </c>
      <c r="M11" s="184"/>
      <c r="N11" s="184"/>
      <c r="O11" s="21" t="s">
        <v>98</v>
      </c>
      <c r="Q11" s="50"/>
    </row>
    <row r="12" spans="2:17" ht="46.5" thickTop="1" thickBot="1" x14ac:dyDescent="0.3">
      <c r="B12" s="196"/>
      <c r="C12" s="196"/>
      <c r="D12" s="191"/>
      <c r="E12" s="16" t="s">
        <v>84</v>
      </c>
      <c r="F12" s="17">
        <v>65</v>
      </c>
      <c r="G12" s="17">
        <v>28</v>
      </c>
      <c r="H12" s="18" t="s">
        <v>78</v>
      </c>
      <c r="I12" s="19">
        <f>F12*G12</f>
        <v>1820</v>
      </c>
      <c r="J12" s="19">
        <f>I12*10.7639</f>
        <v>19590.297999999999</v>
      </c>
      <c r="K12" s="20">
        <v>500</v>
      </c>
      <c r="L12" s="41">
        <f>J12*K12</f>
        <v>9795149</v>
      </c>
      <c r="M12" s="184"/>
      <c r="N12" s="184"/>
      <c r="O12" s="21" t="s">
        <v>96</v>
      </c>
      <c r="Q12" s="10"/>
    </row>
    <row r="13" spans="2:17" ht="31.5" thickTop="1" thickBot="1" x14ac:dyDescent="0.3">
      <c r="B13" s="196"/>
      <c r="C13" s="196"/>
      <c r="D13" s="54" t="s">
        <v>148</v>
      </c>
      <c r="E13" s="22" t="s">
        <v>76</v>
      </c>
      <c r="F13" s="17">
        <v>65</v>
      </c>
      <c r="G13" s="17">
        <v>28</v>
      </c>
      <c r="H13" s="18">
        <v>0.125</v>
      </c>
      <c r="I13" s="19">
        <f>F13*G13</f>
        <v>1820</v>
      </c>
      <c r="J13" s="19">
        <f>I13*10.7639</f>
        <v>19590.297999999999</v>
      </c>
      <c r="K13" s="20">
        <v>75</v>
      </c>
      <c r="L13" s="41">
        <f>J13*K13</f>
        <v>1469272.3499999999</v>
      </c>
      <c r="M13" s="184"/>
      <c r="N13" s="184"/>
      <c r="O13" s="21" t="s">
        <v>95</v>
      </c>
    </row>
    <row r="14" spans="2:17" ht="31.5" thickTop="1" thickBot="1" x14ac:dyDescent="0.3">
      <c r="B14" s="196"/>
      <c r="C14" s="196"/>
      <c r="D14" s="69" t="s">
        <v>159</v>
      </c>
      <c r="E14" s="16" t="s">
        <v>75</v>
      </c>
      <c r="F14" s="17">
        <v>65</v>
      </c>
      <c r="G14" s="17">
        <v>28</v>
      </c>
      <c r="H14" s="18">
        <v>6</v>
      </c>
      <c r="I14" s="19">
        <f>(F14*H14)+(G14*H14)</f>
        <v>558</v>
      </c>
      <c r="J14" s="19">
        <f t="shared" si="0"/>
        <v>6006.2561999999998</v>
      </c>
      <c r="K14" s="20">
        <v>700</v>
      </c>
      <c r="L14" s="41">
        <f t="shared" si="1"/>
        <v>4204379.34</v>
      </c>
      <c r="M14" s="184"/>
      <c r="N14" s="184"/>
      <c r="O14" s="21" t="s">
        <v>103</v>
      </c>
    </row>
    <row r="15" spans="2:17" ht="31.5" thickTop="1" thickBot="1" x14ac:dyDescent="0.3">
      <c r="B15" s="196"/>
      <c r="C15" s="196"/>
      <c r="D15" s="54" t="s">
        <v>77</v>
      </c>
      <c r="E15" s="22" t="s">
        <v>77</v>
      </c>
      <c r="F15" s="17">
        <v>65</v>
      </c>
      <c r="G15" s="17">
        <v>28</v>
      </c>
      <c r="H15" s="18">
        <v>0</v>
      </c>
      <c r="I15" s="19">
        <f t="shared" ref="I15" si="3">F15*G15</f>
        <v>1820</v>
      </c>
      <c r="J15" s="19">
        <f t="shared" si="0"/>
        <v>19590.297999999999</v>
      </c>
      <c r="K15" s="20">
        <v>120</v>
      </c>
      <c r="L15" s="41">
        <f t="shared" si="1"/>
        <v>2350835.7599999998</v>
      </c>
      <c r="M15" s="184"/>
      <c r="N15" s="184"/>
      <c r="O15" s="21" t="s">
        <v>105</v>
      </c>
    </row>
    <row r="16" spans="2:17" ht="31.5" thickTop="1" thickBot="1" x14ac:dyDescent="0.3">
      <c r="B16" s="197"/>
      <c r="C16" s="197"/>
      <c r="D16" s="70" t="s">
        <v>151</v>
      </c>
      <c r="E16" s="70" t="s">
        <v>151</v>
      </c>
      <c r="F16" s="17" t="s">
        <v>78</v>
      </c>
      <c r="G16" s="17" t="s">
        <v>78</v>
      </c>
      <c r="H16" s="18" t="s">
        <v>78</v>
      </c>
      <c r="I16" s="19" t="s">
        <v>78</v>
      </c>
      <c r="J16" s="19" t="s">
        <v>78</v>
      </c>
      <c r="K16" s="20" t="s">
        <v>78</v>
      </c>
      <c r="L16" s="41">
        <v>100000</v>
      </c>
      <c r="M16" s="184"/>
      <c r="N16" s="184"/>
      <c r="O16" s="21" t="s">
        <v>152</v>
      </c>
    </row>
    <row r="17" spans="2:17" ht="39.75" customHeight="1" thickTop="1" thickBot="1" x14ac:dyDescent="0.3">
      <c r="B17" s="195">
        <v>3</v>
      </c>
      <c r="C17" s="195" t="s">
        <v>74</v>
      </c>
      <c r="D17" s="190" t="s">
        <v>10</v>
      </c>
      <c r="E17" s="16" t="s">
        <v>79</v>
      </c>
      <c r="F17" s="17">
        <v>67</v>
      </c>
      <c r="G17" s="17">
        <v>26</v>
      </c>
      <c r="H17" s="18">
        <v>3</v>
      </c>
      <c r="I17" s="19">
        <f>(F17*H17)+(G17*H17)</f>
        <v>279</v>
      </c>
      <c r="J17" s="19">
        <f t="shared" si="0"/>
        <v>3003.1280999999999</v>
      </c>
      <c r="K17" s="20">
        <v>600</v>
      </c>
      <c r="L17" s="41">
        <f t="shared" si="1"/>
        <v>1801876.8599999999</v>
      </c>
      <c r="M17" s="184"/>
      <c r="N17" s="184"/>
      <c r="O17" s="192" t="s">
        <v>153</v>
      </c>
      <c r="Q17" s="10"/>
    </row>
    <row r="18" spans="2:17" ht="39.75" customHeight="1" thickTop="1" thickBot="1" x14ac:dyDescent="0.3">
      <c r="B18" s="196"/>
      <c r="C18" s="196"/>
      <c r="D18" s="191"/>
      <c r="E18" s="16" t="s">
        <v>84</v>
      </c>
      <c r="F18" s="17">
        <v>67</v>
      </c>
      <c r="G18" s="17">
        <v>26</v>
      </c>
      <c r="H18" s="18" t="s">
        <v>78</v>
      </c>
      <c r="I18" s="19">
        <f>F18*G18</f>
        <v>1742</v>
      </c>
      <c r="J18" s="19">
        <f>I18*10.7639</f>
        <v>18750.713799999998</v>
      </c>
      <c r="K18" s="20">
        <v>500</v>
      </c>
      <c r="L18" s="41">
        <f>J18*K18</f>
        <v>9375356.8999999985</v>
      </c>
      <c r="M18" s="184"/>
      <c r="N18" s="184"/>
      <c r="O18" s="193"/>
      <c r="Q18" s="10"/>
    </row>
    <row r="19" spans="2:17" ht="39.75" customHeight="1" thickTop="1" thickBot="1" x14ac:dyDescent="0.3">
      <c r="B19" s="196"/>
      <c r="C19" s="196"/>
      <c r="D19" s="54" t="s">
        <v>148</v>
      </c>
      <c r="E19" s="22" t="s">
        <v>76</v>
      </c>
      <c r="F19" s="17">
        <v>67</v>
      </c>
      <c r="G19" s="17">
        <v>26</v>
      </c>
      <c r="H19" s="18">
        <v>0.125</v>
      </c>
      <c r="I19" s="19">
        <f>F19*G19</f>
        <v>1742</v>
      </c>
      <c r="J19" s="19">
        <f>I19*10.7639</f>
        <v>18750.713799999998</v>
      </c>
      <c r="K19" s="20">
        <v>75</v>
      </c>
      <c r="L19" s="41">
        <f>J19*K19</f>
        <v>1406303.5349999999</v>
      </c>
      <c r="M19" s="184"/>
      <c r="N19" s="184"/>
      <c r="O19" s="193"/>
    </row>
    <row r="20" spans="2:17" ht="39.75" customHeight="1" thickTop="1" thickBot="1" x14ac:dyDescent="0.3">
      <c r="B20" s="196"/>
      <c r="C20" s="196"/>
      <c r="D20" s="69" t="s">
        <v>159</v>
      </c>
      <c r="E20" s="16" t="s">
        <v>75</v>
      </c>
      <c r="F20" s="17">
        <v>67</v>
      </c>
      <c r="G20" s="17">
        <v>26</v>
      </c>
      <c r="H20" s="18">
        <v>6</v>
      </c>
      <c r="I20" s="19">
        <f>(F20*H20)+(G20*H20)</f>
        <v>558</v>
      </c>
      <c r="J20" s="19">
        <f>I20*10.7639</f>
        <v>6006.2561999999998</v>
      </c>
      <c r="K20" s="20">
        <v>800</v>
      </c>
      <c r="L20" s="41">
        <f t="shared" si="1"/>
        <v>4805004.96</v>
      </c>
      <c r="M20" s="184"/>
      <c r="N20" s="184"/>
      <c r="O20" s="193"/>
    </row>
    <row r="21" spans="2:17" ht="39.75" customHeight="1" thickTop="1" thickBot="1" x14ac:dyDescent="0.3">
      <c r="B21" s="196"/>
      <c r="C21" s="196"/>
      <c r="D21" s="54" t="s">
        <v>77</v>
      </c>
      <c r="E21" s="22" t="s">
        <v>77</v>
      </c>
      <c r="F21" s="17">
        <v>67</v>
      </c>
      <c r="G21" s="17">
        <v>26</v>
      </c>
      <c r="H21" s="18">
        <v>0</v>
      </c>
      <c r="I21" s="19">
        <f t="shared" ref="I21" si="4">F21*G21</f>
        <v>1742</v>
      </c>
      <c r="J21" s="19">
        <f t="shared" si="0"/>
        <v>18750.713799999998</v>
      </c>
      <c r="K21" s="20">
        <v>120</v>
      </c>
      <c r="L21" s="41">
        <f t="shared" si="1"/>
        <v>2250085.6559999995</v>
      </c>
      <c r="M21" s="184"/>
      <c r="N21" s="184"/>
      <c r="O21" s="193"/>
      <c r="Q21" s="49"/>
    </row>
    <row r="22" spans="2:17" ht="39.75" customHeight="1" thickTop="1" thickBot="1" x14ac:dyDescent="0.3">
      <c r="B22" s="197"/>
      <c r="C22" s="197"/>
      <c r="D22" s="70" t="s">
        <v>151</v>
      </c>
      <c r="E22" s="70" t="s">
        <v>151</v>
      </c>
      <c r="F22" s="17" t="s">
        <v>78</v>
      </c>
      <c r="G22" s="17" t="s">
        <v>78</v>
      </c>
      <c r="H22" s="18" t="s">
        <v>78</v>
      </c>
      <c r="I22" s="19" t="s">
        <v>78</v>
      </c>
      <c r="J22" s="19" t="s">
        <v>78</v>
      </c>
      <c r="K22" s="20" t="s">
        <v>78</v>
      </c>
      <c r="L22" s="41">
        <v>200000</v>
      </c>
      <c r="M22" s="185"/>
      <c r="N22" s="185"/>
      <c r="O22" s="194"/>
      <c r="Q22" s="49"/>
    </row>
    <row r="23" spans="2:17" ht="16.5" thickTop="1" thickBot="1" x14ac:dyDescent="0.3">
      <c r="B23" s="189" t="s">
        <v>93</v>
      </c>
      <c r="C23" s="189"/>
      <c r="D23" s="189"/>
      <c r="E23" s="189"/>
      <c r="F23" s="189"/>
      <c r="G23" s="189"/>
      <c r="H23" s="189"/>
      <c r="I23" s="23">
        <f>SUM(I1:I21)</f>
        <v>19494</v>
      </c>
      <c r="J23" s="23">
        <f>SUM(J1:J21)</f>
        <v>209831.46660000001</v>
      </c>
      <c r="K23" s="24"/>
      <c r="L23" s="24">
        <f>SUM(L5:L22)</f>
        <v>61848094.576999992</v>
      </c>
      <c r="M23" s="24">
        <f>SUM(M5:M22)</f>
        <v>62710588.428094804</v>
      </c>
      <c r="N23" s="24">
        <f>SUM(N5:N22)</f>
        <v>-862493.85109481215</v>
      </c>
      <c r="O23" s="25"/>
      <c r="Q23" s="10"/>
    </row>
    <row r="24" spans="2:17" ht="121.5" customHeight="1" thickTop="1" thickBot="1" x14ac:dyDescent="0.3">
      <c r="B24" s="15">
        <v>4</v>
      </c>
      <c r="C24" s="16" t="s">
        <v>85</v>
      </c>
      <c r="D24" s="69" t="s">
        <v>99</v>
      </c>
      <c r="E24" s="16" t="s">
        <v>100</v>
      </c>
      <c r="F24" s="188" t="s">
        <v>174</v>
      </c>
      <c r="G24" s="188"/>
      <c r="H24" s="188"/>
      <c r="I24" s="188"/>
      <c r="J24" s="188"/>
      <c r="K24" s="188"/>
      <c r="L24" s="41">
        <f>L23*6%</f>
        <v>3710885.6746199992</v>
      </c>
      <c r="M24" s="41">
        <f>Road!C6+Parking!C6</f>
        <v>3001600</v>
      </c>
      <c r="N24" s="41">
        <f>L24-M24</f>
        <v>709285.67461999925</v>
      </c>
      <c r="O24" s="16" t="s">
        <v>99</v>
      </c>
    </row>
    <row r="25" spans="2:17" ht="37.5" customHeight="1" thickTop="1" thickBot="1" x14ac:dyDescent="0.3">
      <c r="B25" s="15">
        <v>5</v>
      </c>
      <c r="C25" s="22" t="s">
        <v>20</v>
      </c>
      <c r="D25" s="54" t="s">
        <v>149</v>
      </c>
      <c r="E25" s="22" t="s">
        <v>86</v>
      </c>
      <c r="F25" s="15">
        <v>900</v>
      </c>
      <c r="G25" s="15" t="s">
        <v>78</v>
      </c>
      <c r="H25" s="17">
        <f>6/3.28</f>
        <v>1.8292682926829269</v>
      </c>
      <c r="I25" s="188" t="s">
        <v>78</v>
      </c>
      <c r="J25" s="188"/>
      <c r="K25" s="20">
        <v>5200</v>
      </c>
      <c r="L25" s="41">
        <f>F25*K25</f>
        <v>4680000</v>
      </c>
      <c r="M25" s="41">
        <f>'Compound Wall'!C8</f>
        <v>4600000</v>
      </c>
      <c r="N25" s="41">
        <f>L25-M25</f>
        <v>80000</v>
      </c>
      <c r="O25" s="21" t="s">
        <v>101</v>
      </c>
    </row>
    <row r="26" spans="2:17" ht="17.25" thickTop="1" thickBot="1" x14ac:dyDescent="0.3">
      <c r="B26" s="186" t="s">
        <v>94</v>
      </c>
      <c r="C26" s="186"/>
      <c r="D26" s="186"/>
      <c r="E26" s="186"/>
      <c r="F26" s="186"/>
      <c r="G26" s="186"/>
      <c r="H26" s="186"/>
      <c r="I26" s="186"/>
      <c r="J26" s="186"/>
      <c r="K26" s="186"/>
      <c r="L26" s="26">
        <f>L23+L24+L25</f>
        <v>70238980.251619995</v>
      </c>
      <c r="M26" s="26">
        <f>M23+M24+M25</f>
        <v>70312188.428094804</v>
      </c>
      <c r="N26" s="26">
        <f>N23+N24+N25</f>
        <v>-73208.176474812906</v>
      </c>
      <c r="O26" s="27"/>
    </row>
    <row r="27" spans="2:17" ht="15.75" thickTop="1" x14ac:dyDescent="0.25">
      <c r="M27" s="10"/>
    </row>
  </sheetData>
  <mergeCells count="17">
    <mergeCell ref="B11:B16"/>
    <mergeCell ref="N5:N22"/>
    <mergeCell ref="M5:M22"/>
    <mergeCell ref="B26:K26"/>
    <mergeCell ref="B2:O2"/>
    <mergeCell ref="I25:J25"/>
    <mergeCell ref="B23:H23"/>
    <mergeCell ref="F24:K24"/>
    <mergeCell ref="D5:D6"/>
    <mergeCell ref="D11:D12"/>
    <mergeCell ref="D17:D18"/>
    <mergeCell ref="O17:O22"/>
    <mergeCell ref="C17:C22"/>
    <mergeCell ref="B17:B22"/>
    <mergeCell ref="C5:C10"/>
    <mergeCell ref="B5:B10"/>
    <mergeCell ref="C11:C16"/>
  </mergeCells>
  <pageMargins left="0.7" right="0.7" top="0.75" bottom="0.75" header="0.3" footer="0.3"/>
  <pageSetup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Summary</vt:lpstr>
      <vt:lpstr>Building annex.</vt:lpstr>
      <vt:lpstr>Machine Costing</vt:lpstr>
      <vt:lpstr>Building Costing</vt:lpstr>
      <vt:lpstr>Road</vt:lpstr>
      <vt:lpstr>Parking</vt:lpstr>
      <vt:lpstr>Electrical Work</vt:lpstr>
      <vt:lpstr>Compound Wall</vt:lpstr>
      <vt:lpstr>Cost Estimate by RK</vt:lpstr>
      <vt:lpstr>Cost Estimate by RK 2</vt:lpstr>
      <vt:lpstr>Office Setup</vt:lpstr>
      <vt:lpstr>'Cost Estimate by RK'!Print_Area</vt:lpstr>
      <vt:lpstr>'Machine Costing'!Print_Area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Rajat Rao</dc:creator>
  <cp:lastModifiedBy>Tejas Bharadwaj</cp:lastModifiedBy>
  <cp:lastPrinted>2022-10-31T12:06:52Z</cp:lastPrinted>
  <dcterms:created xsi:type="dcterms:W3CDTF">2022-07-28T08:04:28Z</dcterms:created>
  <dcterms:modified xsi:type="dcterms:W3CDTF">2022-11-02T11:21:10Z</dcterms:modified>
</cp:coreProperties>
</file>