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X14" i="2" l="1"/>
  <c r="X13" i="2"/>
  <c r="R24" i="2"/>
  <c r="X11" i="2"/>
  <c r="X6" i="2"/>
  <c r="X7" i="2"/>
  <c r="X8" i="2"/>
  <c r="X9" i="2"/>
  <c r="X10" i="2"/>
  <c r="X5" i="2"/>
  <c r="Q24" i="2"/>
  <c r="B20" i="2"/>
  <c r="S18" i="2"/>
  <c r="S17" i="2"/>
  <c r="Q13" i="2"/>
  <c r="S13" i="2" s="1"/>
  <c r="E18" i="2"/>
  <c r="E19" i="2" s="1"/>
  <c r="E14" i="2"/>
  <c r="D16" i="2"/>
  <c r="E16" i="2" s="1"/>
  <c r="F15" i="2"/>
  <c r="O6" i="2" l="1"/>
  <c r="U11" i="2"/>
  <c r="T11" i="2"/>
  <c r="L6" i="2"/>
  <c r="L7" i="2"/>
  <c r="O7" i="2" s="1"/>
  <c r="L8" i="2"/>
  <c r="O8" i="2" s="1"/>
  <c r="L9" i="2"/>
  <c r="O9" i="2" s="1"/>
  <c r="L10" i="2"/>
  <c r="O10" i="2" s="1"/>
  <c r="L5" i="2"/>
  <c r="O5" i="2" s="1"/>
  <c r="I7" i="2"/>
  <c r="I6" i="2"/>
  <c r="I5" i="2"/>
  <c r="I10" i="2"/>
  <c r="G10" i="2"/>
  <c r="H10" i="2" s="1"/>
  <c r="I9" i="2"/>
  <c r="G9" i="2"/>
  <c r="H9" i="2" s="1"/>
  <c r="G8" i="2"/>
  <c r="H8" i="2" s="1"/>
  <c r="G7" i="2"/>
  <c r="H7" i="2" s="1"/>
  <c r="G6" i="2"/>
  <c r="H6" i="2" s="1"/>
  <c r="G5" i="2"/>
  <c r="Q8" i="2" l="1"/>
  <c r="Q7" i="2"/>
  <c r="Q6" i="2"/>
  <c r="G11" i="2"/>
  <c r="Q5" i="2"/>
  <c r="H5" i="2"/>
  <c r="H11" i="2" s="1"/>
  <c r="Q10" i="2"/>
  <c r="Q9" i="2"/>
  <c r="D17" i="1"/>
  <c r="D12" i="1"/>
  <c r="E4" i="1"/>
  <c r="D19" i="1" l="1"/>
  <c r="D20" i="1" s="1"/>
  <c r="R8" i="2"/>
  <c r="S8" i="2" s="1"/>
  <c r="R9" i="2"/>
  <c r="S9" i="2"/>
  <c r="R7" i="2"/>
  <c r="S7" i="2" s="1"/>
  <c r="R6" i="2"/>
  <c r="S6" i="2" s="1"/>
  <c r="R10" i="2"/>
  <c r="S10" i="2" s="1"/>
  <c r="R5" i="2"/>
  <c r="S5" i="2" s="1"/>
  <c r="Q11" i="2"/>
  <c r="R11" i="2" l="1"/>
  <c r="S11" i="2"/>
  <c r="F16" i="2" l="1"/>
  <c r="G16" i="2" s="1"/>
  <c r="G17" i="2" s="1"/>
  <c r="S14" i="2"/>
  <c r="S15" i="2" s="1"/>
</calcChain>
</file>

<file path=xl/sharedStrings.xml><?xml version="1.0" encoding="utf-8"?>
<sst xmlns="http://schemas.openxmlformats.org/spreadsheetml/2006/main" count="63" uniqueCount="43">
  <si>
    <t>GF</t>
  </si>
  <si>
    <t>FF</t>
  </si>
  <si>
    <t>Shed</t>
  </si>
  <si>
    <t>Showroom</t>
  </si>
  <si>
    <t>Admin</t>
  </si>
  <si>
    <t>Washing</t>
  </si>
  <si>
    <t>shed</t>
  </si>
  <si>
    <t>Service Area</t>
  </si>
  <si>
    <t>Guard/Meter Room</t>
  </si>
  <si>
    <t>Meeting Room</t>
  </si>
  <si>
    <t>BUILDING STRUCTURAL SHEET | M/S. UTTAM SUGAR MILLS LIMITED| SITUATED AT VILLAGE-SHERMAU, TALUK-NAKUD, DISTRICT-SAHARANPUR, UTTAR PRADESH</t>
  </si>
  <si>
    <t>Sr. No.</t>
  </si>
  <si>
    <t>Floor</t>
  </si>
  <si>
    <t>Description</t>
  </si>
  <si>
    <t>Type of Structure</t>
  </si>
  <si>
    <t>Condition of Structure</t>
  </si>
  <si>
    <r>
      <t xml:space="preserve">Area 
</t>
    </r>
    <r>
      <rPr>
        <b/>
        <i/>
        <sz val="11"/>
        <rFont val="Calibri"/>
        <family val="2"/>
        <scheme val="minor"/>
      </rPr>
      <t>(in sq ft)</t>
    </r>
  </si>
  <si>
    <r>
      <t xml:space="preserve">Area 
</t>
    </r>
    <r>
      <rPr>
        <b/>
        <i/>
        <sz val="11"/>
        <rFont val="Calibri"/>
        <family val="2"/>
        <scheme val="minor"/>
      </rPr>
      <t>(in sq mtr)</t>
    </r>
  </si>
  <si>
    <t>Height
(in ft.)</t>
  </si>
  <si>
    <t>Year of Construction</t>
  </si>
  <si>
    <t xml:space="preserve">Year of Valuation </t>
  </si>
  <si>
    <r>
      <t xml:space="preserve">Total Life Consumed 
</t>
    </r>
    <r>
      <rPr>
        <b/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</si>
  <si>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</si>
  <si>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</si>
  <si>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</si>
  <si>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b/>
        <i/>
        <sz val="11"/>
        <rFont val="Calibri"/>
        <family val="2"/>
        <scheme val="minor"/>
      </rPr>
      <t>(in per sq.ft.)</t>
    </r>
  </si>
  <si>
    <t>Gross Replacement Value
(INR)</t>
  </si>
  <si>
    <t>Depreciated Value
(INR)</t>
  </si>
  <si>
    <t>Deterioration Factor</t>
  </si>
  <si>
    <t>Depreciated Replacement Market Value
(INR)</t>
  </si>
  <si>
    <t>Age Factor</t>
  </si>
  <si>
    <t>Total Govt. Guideline value</t>
  </si>
  <si>
    <t>First Floor</t>
  </si>
  <si>
    <t>Shed Structure</t>
  </si>
  <si>
    <t>RCC Structure with RCC Roofing</t>
  </si>
  <si>
    <t>Good</t>
  </si>
  <si>
    <t>Ground Floor</t>
  </si>
  <si>
    <t>Land</t>
  </si>
  <si>
    <t>Total</t>
  </si>
  <si>
    <t>Washing Area</t>
  </si>
  <si>
    <t xml:space="preserve">Depreciation
(INR) </t>
  </si>
  <si>
    <t>Govt. Value</t>
  </si>
  <si>
    <t>Govt. Guideline rates
(per sq. mtr.)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</si>
</sst>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#,##0.000"/>
    <numFmt numFmtId="166" formatCode="_ * #,##0_ ;_ * \-#,##0_ ;_ * &quot;-&quot;??_ ;_ @_ "/>
    <numFmt numFmtId="167" formatCode="_ &quot;₹&quot;\ * #,##0.00_ ;_ &quot;₹&quot;\ * \-#,##0.00_ ;_ &quot;₹&quot;\ * &quot;-&quot;??_ ;_ @_ "/>
    <numFmt numFmtId="171" formatCode="_(* #,##0_);_(* \(#,##0\);_(* &quot;-&quot;??_);_(@_)"/>
    <numFmt numFmtId="172" formatCode="_ * #,##0.000_ ;_ * \-#,##0.0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left" vertical="center"/>
    </xf>
    <xf numFmtId="0" fontId="4" fillId="0" borderId="0" xfId="0" applyFont="1"/>
    <xf numFmtId="164" fontId="0" fillId="0" borderId="1" xfId="1" applyFont="1" applyBorder="1"/>
    <xf numFmtId="166" fontId="0" fillId="0" borderId="1" xfId="0" applyNumberFormat="1" applyBorder="1"/>
    <xf numFmtId="166" fontId="4" fillId="0" borderId="1" xfId="0" applyNumberFormat="1" applyFont="1" applyBorder="1"/>
    <xf numFmtId="166" fontId="0" fillId="0" borderId="1" xfId="1" applyNumberFormat="1" applyFont="1" applyBorder="1"/>
    <xf numFmtId="166" fontId="4" fillId="0" borderId="1" xfId="1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0" fillId="0" borderId="0" xfId="1" applyFont="1"/>
    <xf numFmtId="166" fontId="0" fillId="0" borderId="0" xfId="0" applyNumberFormat="1"/>
    <xf numFmtId="171" fontId="0" fillId="0" borderId="0" xfId="0" applyNumberFormat="1"/>
    <xf numFmtId="172" fontId="0" fillId="0" borderId="0" xfId="1" applyNumberFormat="1" applyFont="1"/>
  </cellXfs>
  <cellStyles count="3">
    <cellStyle name="Comma" xfId="1" builtinId="3"/>
    <cellStyle name="Currency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0"/>
  <sheetViews>
    <sheetView topLeftCell="A6" zoomScale="145" zoomScaleNormal="145" workbookViewId="0">
      <selection activeCell="B25" sqref="B25"/>
    </sheetView>
  </sheetViews>
  <sheetFormatPr defaultRowHeight="15" x14ac:dyDescent="0.25"/>
  <cols>
    <col min="3" max="3" width="18.42578125" bestFit="1" customWidth="1"/>
    <col min="4" max="4" width="9.140625" style="2"/>
  </cols>
  <sheetData>
    <row r="4" spans="2:5" x14ac:dyDescent="0.25">
      <c r="D4" s="3">
        <v>1813.665</v>
      </c>
      <c r="E4" s="1">
        <f>D4*1.196</f>
        <v>2169.1433400000001</v>
      </c>
    </row>
    <row r="6" spans="2:5" x14ac:dyDescent="0.25">
      <c r="D6" s="2" t="s">
        <v>0</v>
      </c>
    </row>
    <row r="7" spans="2:5" x14ac:dyDescent="0.25">
      <c r="C7" t="s">
        <v>3</v>
      </c>
      <c r="D7" s="2">
        <v>1968</v>
      </c>
      <c r="E7">
        <v>10</v>
      </c>
    </row>
    <row r="8" spans="2:5" x14ac:dyDescent="0.25">
      <c r="C8" t="s">
        <v>4</v>
      </c>
      <c r="D8" s="2">
        <v>816</v>
      </c>
      <c r="E8" s="2">
        <v>10</v>
      </c>
    </row>
    <row r="9" spans="2:5" x14ac:dyDescent="0.25">
      <c r="B9" t="s">
        <v>6</v>
      </c>
      <c r="C9" t="s">
        <v>5</v>
      </c>
      <c r="D9" s="2">
        <v>1680</v>
      </c>
      <c r="E9">
        <v>15</v>
      </c>
    </row>
    <row r="10" spans="2:5" x14ac:dyDescent="0.25">
      <c r="B10" t="s">
        <v>2</v>
      </c>
      <c r="C10" t="s">
        <v>7</v>
      </c>
      <c r="D10" s="2">
        <v>6266</v>
      </c>
      <c r="E10">
        <v>15</v>
      </c>
    </row>
    <row r="11" spans="2:5" x14ac:dyDescent="0.25">
      <c r="C11" t="s">
        <v>8</v>
      </c>
      <c r="D11" s="2">
        <v>770</v>
      </c>
    </row>
    <row r="12" spans="2:5" x14ac:dyDescent="0.25">
      <c r="D12" s="2">
        <f>SUM(D7:D11)</f>
        <v>11500</v>
      </c>
    </row>
    <row r="14" spans="2:5" x14ac:dyDescent="0.25">
      <c r="D14" s="2" t="s">
        <v>1</v>
      </c>
    </row>
    <row r="15" spans="2:5" x14ac:dyDescent="0.25">
      <c r="C15" t="s">
        <v>2</v>
      </c>
      <c r="D15" s="2">
        <v>720</v>
      </c>
      <c r="E15">
        <v>8</v>
      </c>
    </row>
    <row r="16" spans="2:5" x14ac:dyDescent="0.25">
      <c r="B16" t="s">
        <v>6</v>
      </c>
      <c r="C16" t="s">
        <v>9</v>
      </c>
      <c r="D16" s="2">
        <v>770</v>
      </c>
      <c r="E16">
        <v>8</v>
      </c>
    </row>
    <row r="17" spans="4:4" x14ac:dyDescent="0.25">
      <c r="D17" s="2">
        <f>SUM(D15:D16)</f>
        <v>1490</v>
      </c>
    </row>
    <row r="19" spans="4:4" x14ac:dyDescent="0.25">
      <c r="D19" s="2">
        <f>D17+D12</f>
        <v>12990</v>
      </c>
    </row>
    <row r="20" spans="4:4" x14ac:dyDescent="0.25">
      <c r="D20" s="2">
        <f>D19/10.764</f>
        <v>1206.8004459308809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tabSelected="1" workbookViewId="0">
      <selection activeCell="R24" sqref="R24"/>
    </sheetView>
  </sheetViews>
  <sheetFormatPr defaultRowHeight="15" x14ac:dyDescent="0.25"/>
  <cols>
    <col min="2" max="2" width="6.85546875" bestFit="1" customWidth="1"/>
    <col min="3" max="3" width="12.5703125" bestFit="1" customWidth="1"/>
    <col min="4" max="4" width="18.42578125" bestFit="1" customWidth="1"/>
    <col min="5" max="5" width="29.140625" bestFit="1" customWidth="1"/>
    <col min="6" max="6" width="13.7109375" hidden="1" customWidth="1"/>
    <col min="7" max="7" width="14.7109375" bestFit="1" customWidth="1"/>
    <col min="8" max="8" width="9" hidden="1" customWidth="1"/>
    <col min="9" max="9" width="7.28515625" bestFit="1" customWidth="1"/>
    <col min="10" max="10" width="10" bestFit="1" customWidth="1"/>
    <col min="11" max="11" width="8.42578125" hidden="1" customWidth="1"/>
    <col min="12" max="12" width="0" hidden="1" customWidth="1"/>
    <col min="13" max="13" width="8.5703125" hidden="1" customWidth="1"/>
    <col min="14" max="14" width="7.7109375" hidden="1" customWidth="1"/>
    <col min="15" max="15" width="12.140625" hidden="1" customWidth="1"/>
    <col min="16" max="16" width="9.85546875" style="2" hidden="1" customWidth="1"/>
    <col min="17" max="17" width="16.28515625" bestFit="1" customWidth="1"/>
    <col min="18" max="19" width="15.28515625" bestFit="1" customWidth="1"/>
    <col min="20" max="20" width="10.42578125" hidden="1" customWidth="1"/>
    <col min="21" max="21" width="15.28515625" hidden="1" customWidth="1"/>
    <col min="22" max="22" width="15.5703125" customWidth="1"/>
    <col min="23" max="23" width="6.42578125" bestFit="1" customWidth="1"/>
    <col min="24" max="24" width="11.5703125" bestFit="1" customWidth="1"/>
  </cols>
  <sheetData>
    <row r="3" spans="2:24" x14ac:dyDescent="0.25">
      <c r="B3" s="22" t="s">
        <v>10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2:24" ht="75" x14ac:dyDescent="0.25">
      <c r="B4" s="4" t="s">
        <v>11</v>
      </c>
      <c r="C4" s="4" t="s">
        <v>12</v>
      </c>
      <c r="D4" s="14" t="s">
        <v>13</v>
      </c>
      <c r="E4" s="5" t="s">
        <v>14</v>
      </c>
      <c r="F4" s="4" t="s">
        <v>15</v>
      </c>
      <c r="G4" s="6" t="s">
        <v>16</v>
      </c>
      <c r="H4" s="7" t="s">
        <v>17</v>
      </c>
      <c r="I4" s="7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6" t="s">
        <v>25</v>
      </c>
      <c r="Q4" s="4" t="s">
        <v>26</v>
      </c>
      <c r="R4" s="4" t="s">
        <v>40</v>
      </c>
      <c r="S4" s="4" t="s">
        <v>27</v>
      </c>
      <c r="T4" s="4" t="s">
        <v>28</v>
      </c>
      <c r="U4" s="4" t="s">
        <v>29</v>
      </c>
      <c r="V4" s="4" t="s">
        <v>42</v>
      </c>
      <c r="W4" s="4" t="s">
        <v>30</v>
      </c>
      <c r="X4" s="4" t="s">
        <v>31</v>
      </c>
    </row>
    <row r="5" spans="2:24" x14ac:dyDescent="0.25">
      <c r="B5" s="12">
        <v>1</v>
      </c>
      <c r="C5" s="12" t="s">
        <v>36</v>
      </c>
      <c r="D5" s="11" t="s">
        <v>4</v>
      </c>
      <c r="E5" s="12" t="s">
        <v>34</v>
      </c>
      <c r="F5" s="12" t="s">
        <v>35</v>
      </c>
      <c r="G5" s="15">
        <f>Sheet1!D8</f>
        <v>816</v>
      </c>
      <c r="H5" s="17">
        <f>G5/10.764</f>
        <v>75.808249721293208</v>
      </c>
      <c r="I5" s="15">
        <f>Sheet1!E8</f>
        <v>10</v>
      </c>
      <c r="J5" s="12">
        <v>2012</v>
      </c>
      <c r="K5" s="9">
        <v>2022</v>
      </c>
      <c r="L5" s="12">
        <f>K5-J5</f>
        <v>10</v>
      </c>
      <c r="M5" s="12">
        <v>60</v>
      </c>
      <c r="N5" s="10">
        <v>0.1</v>
      </c>
      <c r="O5" s="8">
        <f>(1-N5)*L5/M5</f>
        <v>0.15</v>
      </c>
      <c r="P5" s="20">
        <v>1400</v>
      </c>
      <c r="Q5" s="18">
        <f>P5*G5</f>
        <v>1142400</v>
      </c>
      <c r="R5" s="20">
        <f>Q5*O5</f>
        <v>171360</v>
      </c>
      <c r="S5" s="20">
        <f>Q5-R5</f>
        <v>971040</v>
      </c>
      <c r="T5" s="20"/>
      <c r="U5" s="20"/>
      <c r="V5" s="20">
        <v>12000</v>
      </c>
      <c r="W5" s="12">
        <v>0.90400000000000003</v>
      </c>
      <c r="X5" s="20">
        <f>W5*V5*H5</f>
        <v>822367.89297658869</v>
      </c>
    </row>
    <row r="6" spans="2:24" x14ac:dyDescent="0.25">
      <c r="B6" s="12">
        <v>2</v>
      </c>
      <c r="C6" s="12" t="s">
        <v>36</v>
      </c>
      <c r="D6" s="11" t="s">
        <v>39</v>
      </c>
      <c r="E6" s="12" t="s">
        <v>33</v>
      </c>
      <c r="F6" s="12" t="s">
        <v>35</v>
      </c>
      <c r="G6" s="15">
        <f>Sheet1!D9</f>
        <v>1680</v>
      </c>
      <c r="H6" s="17">
        <f t="shared" ref="H6:H10" si="0">G6/10.764</f>
        <v>156.07580824972129</v>
      </c>
      <c r="I6" s="15">
        <f>Sheet1!E9</f>
        <v>15</v>
      </c>
      <c r="J6" s="12">
        <v>2012</v>
      </c>
      <c r="K6" s="9">
        <v>2022</v>
      </c>
      <c r="L6" s="12">
        <f t="shared" ref="L6:L10" si="1">K6-J6</f>
        <v>10</v>
      </c>
      <c r="M6" s="12">
        <v>45</v>
      </c>
      <c r="N6" s="10">
        <v>0.1</v>
      </c>
      <c r="O6" s="8">
        <f t="shared" ref="O6:O10" si="2">(1-N6)*L6/M6</f>
        <v>0.2</v>
      </c>
      <c r="P6" s="20">
        <v>800</v>
      </c>
      <c r="Q6" s="18">
        <f t="shared" ref="Q6:Q10" si="3">P6*G6</f>
        <v>1344000</v>
      </c>
      <c r="R6" s="20">
        <f t="shared" ref="R6:R10" si="4">Q6*O6</f>
        <v>268800</v>
      </c>
      <c r="S6" s="20">
        <f t="shared" ref="S6:S10" si="5">Q6-R6</f>
        <v>1075200</v>
      </c>
      <c r="T6" s="20"/>
      <c r="U6" s="20"/>
      <c r="V6" s="20">
        <v>10000</v>
      </c>
      <c r="W6" s="12">
        <v>0.90400000000000003</v>
      </c>
      <c r="X6" s="20">
        <f t="shared" ref="X6:X10" si="6">W6*V6*H6</f>
        <v>1410925.3065774804</v>
      </c>
    </row>
    <row r="7" spans="2:24" x14ac:dyDescent="0.25">
      <c r="B7" s="12">
        <v>3</v>
      </c>
      <c r="C7" s="12" t="s">
        <v>36</v>
      </c>
      <c r="D7" s="11" t="s">
        <v>7</v>
      </c>
      <c r="E7" s="12" t="s">
        <v>33</v>
      </c>
      <c r="F7" s="12" t="s">
        <v>35</v>
      </c>
      <c r="G7" s="15">
        <f>Sheet1!D10</f>
        <v>6266</v>
      </c>
      <c r="H7" s="17">
        <f t="shared" si="0"/>
        <v>582.12560386473433</v>
      </c>
      <c r="I7" s="15">
        <f>Sheet1!E10</f>
        <v>15</v>
      </c>
      <c r="J7" s="12">
        <v>2012</v>
      </c>
      <c r="K7" s="9">
        <v>2022</v>
      </c>
      <c r="L7" s="12">
        <f t="shared" si="1"/>
        <v>10</v>
      </c>
      <c r="M7" s="12">
        <v>45</v>
      </c>
      <c r="N7" s="10">
        <v>0.1</v>
      </c>
      <c r="O7" s="8">
        <f t="shared" si="2"/>
        <v>0.2</v>
      </c>
      <c r="P7" s="20">
        <v>800</v>
      </c>
      <c r="Q7" s="18">
        <f t="shared" si="3"/>
        <v>5012800</v>
      </c>
      <c r="R7" s="20">
        <f t="shared" si="4"/>
        <v>1002560</v>
      </c>
      <c r="S7" s="20">
        <f t="shared" si="5"/>
        <v>4010240</v>
      </c>
      <c r="T7" s="20"/>
      <c r="U7" s="20"/>
      <c r="V7" s="20">
        <v>10000</v>
      </c>
      <c r="W7" s="12">
        <v>0.90400000000000003</v>
      </c>
      <c r="X7" s="20">
        <f t="shared" si="6"/>
        <v>5262415.4589371979</v>
      </c>
    </row>
    <row r="8" spans="2:24" x14ac:dyDescent="0.25">
      <c r="B8" s="12">
        <v>4</v>
      </c>
      <c r="C8" s="12" t="s">
        <v>36</v>
      </c>
      <c r="D8" s="11" t="s">
        <v>8</v>
      </c>
      <c r="E8" s="12" t="s">
        <v>34</v>
      </c>
      <c r="F8" s="12" t="s">
        <v>35</v>
      </c>
      <c r="G8" s="15">
        <f>Sheet1!D11</f>
        <v>770</v>
      </c>
      <c r="H8" s="17">
        <f t="shared" si="0"/>
        <v>71.534745447788936</v>
      </c>
      <c r="I8" s="15">
        <v>10</v>
      </c>
      <c r="J8" s="12">
        <v>2012</v>
      </c>
      <c r="K8" s="9">
        <v>2022</v>
      </c>
      <c r="L8" s="12">
        <f t="shared" si="1"/>
        <v>10</v>
      </c>
      <c r="M8" s="12">
        <v>60</v>
      </c>
      <c r="N8" s="10">
        <v>0.1</v>
      </c>
      <c r="O8" s="8">
        <f t="shared" si="2"/>
        <v>0.15</v>
      </c>
      <c r="P8" s="20">
        <v>1200</v>
      </c>
      <c r="Q8" s="18">
        <f t="shared" si="3"/>
        <v>924000</v>
      </c>
      <c r="R8" s="20">
        <f t="shared" si="4"/>
        <v>138600</v>
      </c>
      <c r="S8" s="20">
        <f t="shared" si="5"/>
        <v>785400</v>
      </c>
      <c r="T8" s="20"/>
      <c r="U8" s="20"/>
      <c r="V8" s="20">
        <v>12000</v>
      </c>
      <c r="W8" s="12">
        <v>0.90400000000000003</v>
      </c>
      <c r="X8" s="20">
        <f t="shared" si="6"/>
        <v>776008.91861761443</v>
      </c>
    </row>
    <row r="9" spans="2:24" x14ac:dyDescent="0.25">
      <c r="B9" s="12">
        <v>5</v>
      </c>
      <c r="C9" s="12" t="s">
        <v>32</v>
      </c>
      <c r="D9" s="11" t="s">
        <v>2</v>
      </c>
      <c r="E9" s="12" t="s">
        <v>33</v>
      </c>
      <c r="F9" s="12" t="s">
        <v>35</v>
      </c>
      <c r="G9" s="15">
        <f>Sheet1!D15</f>
        <v>720</v>
      </c>
      <c r="H9" s="17">
        <f t="shared" si="0"/>
        <v>66.889632107023417</v>
      </c>
      <c r="I9" s="15">
        <f>Sheet1!E15</f>
        <v>8</v>
      </c>
      <c r="J9" s="12">
        <v>2012</v>
      </c>
      <c r="K9" s="9">
        <v>2022</v>
      </c>
      <c r="L9" s="12">
        <f t="shared" si="1"/>
        <v>10</v>
      </c>
      <c r="M9" s="12">
        <v>45</v>
      </c>
      <c r="N9" s="10">
        <v>0.1</v>
      </c>
      <c r="O9" s="8">
        <f t="shared" si="2"/>
        <v>0.2</v>
      </c>
      <c r="P9" s="20">
        <v>700</v>
      </c>
      <c r="Q9" s="18">
        <f t="shared" si="3"/>
        <v>504000</v>
      </c>
      <c r="R9" s="20">
        <f t="shared" si="4"/>
        <v>100800</v>
      </c>
      <c r="S9" s="20">
        <f t="shared" si="5"/>
        <v>403200</v>
      </c>
      <c r="T9" s="20"/>
      <c r="U9" s="20"/>
      <c r="V9" s="20">
        <v>10000</v>
      </c>
      <c r="W9" s="12">
        <v>0.90400000000000003</v>
      </c>
      <c r="X9" s="20">
        <f t="shared" si="6"/>
        <v>604682.27424749173</v>
      </c>
    </row>
    <row r="10" spans="2:24" x14ac:dyDescent="0.25">
      <c r="B10" s="12">
        <v>6</v>
      </c>
      <c r="C10" s="12" t="s">
        <v>32</v>
      </c>
      <c r="D10" s="11" t="s">
        <v>9</v>
      </c>
      <c r="E10" s="12" t="s">
        <v>33</v>
      </c>
      <c r="F10" s="12" t="s">
        <v>35</v>
      </c>
      <c r="G10" s="15">
        <f>Sheet1!D16</f>
        <v>770</v>
      </c>
      <c r="H10" s="17">
        <f t="shared" si="0"/>
        <v>71.534745447788936</v>
      </c>
      <c r="I10" s="15">
        <f>Sheet1!E16</f>
        <v>8</v>
      </c>
      <c r="J10" s="12">
        <v>2012</v>
      </c>
      <c r="K10" s="9">
        <v>2022</v>
      </c>
      <c r="L10" s="12">
        <f t="shared" si="1"/>
        <v>10</v>
      </c>
      <c r="M10" s="12">
        <v>45</v>
      </c>
      <c r="N10" s="10">
        <v>0.1</v>
      </c>
      <c r="O10" s="8">
        <f t="shared" si="2"/>
        <v>0.2</v>
      </c>
      <c r="P10" s="20">
        <v>1200</v>
      </c>
      <c r="Q10" s="18">
        <f t="shared" si="3"/>
        <v>924000</v>
      </c>
      <c r="R10" s="20">
        <f t="shared" si="4"/>
        <v>184800</v>
      </c>
      <c r="S10" s="20">
        <f t="shared" si="5"/>
        <v>739200</v>
      </c>
      <c r="T10" s="20"/>
      <c r="U10" s="20"/>
      <c r="V10" s="20">
        <v>10000</v>
      </c>
      <c r="W10" s="12">
        <v>0.90400000000000003</v>
      </c>
      <c r="X10" s="20">
        <f t="shared" si="6"/>
        <v>646674.09884801193</v>
      </c>
    </row>
    <row r="11" spans="2:24" s="16" customFormat="1" x14ac:dyDescent="0.25">
      <c r="B11" s="13"/>
      <c r="C11" s="13"/>
      <c r="D11" s="13"/>
      <c r="E11" s="13" t="s">
        <v>38</v>
      </c>
      <c r="F11" s="13"/>
      <c r="G11" s="19">
        <f>SUM(G5:G10)</f>
        <v>11022</v>
      </c>
      <c r="H11" s="19">
        <f>SUM(H5:H10)</f>
        <v>1023.9687848383502</v>
      </c>
      <c r="I11" s="13"/>
      <c r="J11" s="13"/>
      <c r="K11" s="13"/>
      <c r="L11" s="13"/>
      <c r="M11" s="13"/>
      <c r="N11" s="13"/>
      <c r="O11" s="13"/>
      <c r="P11" s="21"/>
      <c r="Q11" s="19">
        <f>SUM(Q5:Q10)</f>
        <v>9851200</v>
      </c>
      <c r="R11" s="19">
        <f>SUM(R5:R10)</f>
        <v>1866920</v>
      </c>
      <c r="S11" s="19">
        <f>SUM(S5:S10)</f>
        <v>7984280</v>
      </c>
      <c r="T11" s="19">
        <f>SUM(T5:T10)</f>
        <v>0</v>
      </c>
      <c r="U11" s="19">
        <f>SUM(U5:U10)</f>
        <v>0</v>
      </c>
      <c r="V11" s="13"/>
      <c r="W11" s="13"/>
      <c r="X11" s="19">
        <f>SUM(X5:X10)</f>
        <v>9523073.9502043836</v>
      </c>
    </row>
    <row r="12" spans="2:24" x14ac:dyDescent="0.25">
      <c r="S12" s="24"/>
    </row>
    <row r="13" spans="2:24" x14ac:dyDescent="0.25">
      <c r="J13" s="26">
        <v>1813.665</v>
      </c>
      <c r="Q13" s="24">
        <f>J13*1.196</f>
        <v>2169.1433400000001</v>
      </c>
      <c r="R13">
        <v>75000</v>
      </c>
      <c r="S13" s="25">
        <f>R13*Q13</f>
        <v>162685750.5</v>
      </c>
      <c r="X13" s="24">
        <f>R24</f>
        <v>31920504</v>
      </c>
    </row>
    <row r="14" spans="2:24" x14ac:dyDescent="0.25">
      <c r="D14" t="s">
        <v>37</v>
      </c>
      <c r="E14" s="2">
        <f>E15*1.196</f>
        <v>89700</v>
      </c>
      <c r="S14" s="24">
        <f>SUM(S11:S13)</f>
        <v>170670030.5</v>
      </c>
      <c r="X14" s="24">
        <f>SUM(X11:X13)</f>
        <v>41443577.950204387</v>
      </c>
    </row>
    <row r="15" spans="2:24" x14ac:dyDescent="0.25">
      <c r="E15" s="2">
        <v>75000</v>
      </c>
      <c r="F15" s="2">
        <f>E15*J13</f>
        <v>136024875</v>
      </c>
      <c r="G15" s="2"/>
      <c r="S15" s="23">
        <f>S14/10^7</f>
        <v>17.06700305</v>
      </c>
    </row>
    <row r="16" spans="2:24" x14ac:dyDescent="0.25">
      <c r="D16" s="26">
        <f>J13*1.196</f>
        <v>2169.1433400000001</v>
      </c>
      <c r="E16" s="2">
        <f>E15*D16</f>
        <v>162685750.5</v>
      </c>
      <c r="F16" s="2">
        <f>S11</f>
        <v>7984280</v>
      </c>
      <c r="G16" s="2">
        <f>SUM(E16:F16)</f>
        <v>170670030.5</v>
      </c>
      <c r="S16" s="23">
        <v>17</v>
      </c>
    </row>
    <row r="17" spans="2:19" x14ac:dyDescent="0.25">
      <c r="G17" s="23">
        <f>G16/10^7</f>
        <v>17.06700305</v>
      </c>
      <c r="S17" s="23">
        <f>S16*0.85</f>
        <v>14.45</v>
      </c>
    </row>
    <row r="18" spans="2:19" x14ac:dyDescent="0.25">
      <c r="E18">
        <f>8050*10.764</f>
        <v>86650.2</v>
      </c>
      <c r="S18" s="23">
        <f>S16*0.75</f>
        <v>12.75</v>
      </c>
    </row>
    <row r="19" spans="2:19" x14ac:dyDescent="0.25">
      <c r="E19">
        <f>E18/1.196</f>
        <v>72450</v>
      </c>
      <c r="S19" s="23"/>
    </row>
    <row r="20" spans="2:19" x14ac:dyDescent="0.25">
      <c r="B20">
        <f>800*1.196</f>
        <v>956.8</v>
      </c>
    </row>
    <row r="21" spans="2:19" x14ac:dyDescent="0.25">
      <c r="Q21" t="s">
        <v>41</v>
      </c>
    </row>
    <row r="22" spans="2:19" x14ac:dyDescent="0.25">
      <c r="Q22">
        <v>16000</v>
      </c>
    </row>
    <row r="23" spans="2:19" x14ac:dyDescent="0.25">
      <c r="Q23">
        <v>1.1000000000000001</v>
      </c>
    </row>
    <row r="24" spans="2:19" x14ac:dyDescent="0.25">
      <c r="Q24" s="2">
        <f>Q23*Q22</f>
        <v>17600</v>
      </c>
      <c r="R24" s="24">
        <f>Q24*J13</f>
        <v>31920504</v>
      </c>
    </row>
  </sheetData>
  <mergeCells count="1">
    <mergeCell ref="B3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2022-10-28T09:23:15Z</dcterms:modified>
</cp:coreProperties>
</file>