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In Progress Files\Babul\VIS(2022-23)-PL393-Q092-334-609\"/>
    </mc:Choice>
  </mc:AlternateContent>
  <bookViews>
    <workbookView xWindow="0" yWindow="0" windowWidth="21600" windowHeight="9735" tabRatio="752"/>
  </bookViews>
  <sheets>
    <sheet name="Project Summary" sheetId="3" r:id="rId1"/>
    <sheet name="Assumptions" sheetId="1" r:id="rId2"/>
    <sheet name="Inflow" sheetId="2" r:id="rId3"/>
    <sheet name="Land Valuation (Resi.)" sheetId="6" r:id="rId4"/>
    <sheet name="Land Valuation (Market)" sheetId="4" r:id="rId5"/>
    <sheet name="Land Valuation (Guideline)" sheetId="5" r:id="rId6"/>
  </sheets>
  <externalReferences>
    <externalReference r:id="rId7"/>
  </externalReferenc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3" i="2" l="1"/>
  <c r="F11" i="5"/>
  <c r="D24" i="3" l="1"/>
  <c r="D23" i="3"/>
  <c r="D22" i="3"/>
  <c r="I21" i="4"/>
  <c r="I20" i="4"/>
  <c r="C25" i="2"/>
  <c r="C24" i="2"/>
  <c r="G21" i="3"/>
  <c r="H11" i="4" l="1"/>
  <c r="E11" i="5"/>
  <c r="D11" i="4"/>
  <c r="D11" i="5" s="1"/>
  <c r="F11" i="4"/>
  <c r="E11" i="4"/>
  <c r="H18" i="6"/>
  <c r="C12" i="3"/>
  <c r="H14" i="6"/>
  <c r="C13" i="3"/>
  <c r="G17" i="2" l="1"/>
  <c r="F17" i="2"/>
  <c r="C11" i="3"/>
  <c r="C9" i="2" s="1"/>
  <c r="C8" i="3"/>
  <c r="XFD12" i="5" l="1"/>
  <c r="G12" i="5"/>
  <c r="E12" i="5"/>
  <c r="F12" i="5"/>
  <c r="H6" i="6"/>
  <c r="G6" i="6"/>
  <c r="XEP8" i="6"/>
  <c r="E8" i="6"/>
  <c r="D8" i="6"/>
  <c r="C8" i="6"/>
  <c r="D17" i="2"/>
  <c r="E17" i="2"/>
  <c r="C17" i="2"/>
  <c r="C13" i="2"/>
  <c r="XFD12" i="4"/>
  <c r="G12" i="4"/>
  <c r="E12" i="4"/>
  <c r="F12" i="4"/>
  <c r="F6" i="6"/>
  <c r="F8" i="6" s="1"/>
  <c r="G8" i="6" l="1"/>
  <c r="C11" i="6"/>
  <c r="H8" i="6"/>
  <c r="C13" i="6"/>
  <c r="C15" i="6" s="1"/>
  <c r="I12" i="5" l="1"/>
  <c r="J12" i="5"/>
  <c r="H12" i="5"/>
  <c r="C32" i="3" s="1"/>
  <c r="C17" i="6"/>
  <c r="C19" i="6" s="1"/>
  <c r="C37" i="3" s="1"/>
  <c r="H12" i="4"/>
  <c r="C27" i="3" s="1"/>
  <c r="J11" i="4"/>
  <c r="J12" i="4" s="1"/>
  <c r="I11" i="4"/>
  <c r="I12" i="4" s="1"/>
  <c r="C38" i="3" l="1"/>
  <c r="C39" i="3"/>
  <c r="C28" i="3"/>
  <c r="C29" i="3"/>
  <c r="G18" i="2"/>
  <c r="F18" i="2"/>
  <c r="E18" i="2"/>
  <c r="D18" i="2"/>
  <c r="H13" i="1"/>
  <c r="H10" i="1"/>
  <c r="H7" i="1"/>
  <c r="H17" i="2" l="1"/>
  <c r="H18" i="2" s="1"/>
  <c r="C14" i="2"/>
  <c r="C10" i="2"/>
  <c r="D20" i="1"/>
  <c r="C18" i="2"/>
  <c r="D9" i="2" l="1"/>
  <c r="D13" i="2"/>
  <c r="C20" i="2"/>
  <c r="E20" i="1"/>
  <c r="E13" i="2" l="1"/>
  <c r="E14" i="2" s="1"/>
  <c r="E9" i="2"/>
  <c r="F20" i="1"/>
  <c r="E10" i="2"/>
  <c r="D10" i="2"/>
  <c r="D14" i="2"/>
  <c r="F9" i="2" l="1"/>
  <c r="F10" i="2" s="1"/>
  <c r="F13" i="2"/>
  <c r="E20" i="2"/>
  <c r="G20" i="1"/>
  <c r="D20" i="2"/>
  <c r="G13" i="2" l="1"/>
  <c r="G14" i="2" s="1"/>
  <c r="G9" i="2"/>
  <c r="G10" i="2" s="1"/>
  <c r="F14" i="2"/>
  <c r="F20" i="2" s="1"/>
  <c r="H13" i="2"/>
  <c r="H14" i="2" s="1"/>
  <c r="H9" i="2" l="1"/>
  <c r="H10" i="2" s="1"/>
  <c r="H20" i="2" s="1"/>
  <c r="C22" i="3" s="1"/>
  <c r="G20" i="2"/>
  <c r="C24" i="3" l="1"/>
  <c r="C23" i="3"/>
</calcChain>
</file>

<file path=xl/sharedStrings.xml><?xml version="1.0" encoding="utf-8"?>
<sst xmlns="http://schemas.openxmlformats.org/spreadsheetml/2006/main" count="168" uniqueCount="109">
  <si>
    <t>ADVANCE SALE RECEIPTS</t>
  </si>
  <si>
    <t>YEAR 1</t>
  </si>
  <si>
    <t>YEAR 2</t>
  </si>
  <si>
    <t>YEAR 3</t>
  </si>
  <si>
    <t>YEAR 4</t>
  </si>
  <si>
    <t>YEAR 5</t>
  </si>
  <si>
    <t>TOTAL ADVANCE SALE</t>
  </si>
  <si>
    <t>RESIDENTIAL @ %GE OF SALABLE AREA</t>
  </si>
  <si>
    <t>INVENTORY SALE RECEIPTS</t>
  </si>
  <si>
    <t>CAR PARKING RECEIPTS</t>
  </si>
  <si>
    <t>PARTICULARS</t>
  </si>
  <si>
    <t>MARKET PHASING</t>
  </si>
  <si>
    <t>(Amount in Crore)</t>
  </si>
  <si>
    <t>Particulars</t>
  </si>
  <si>
    <t>TOTAL</t>
  </si>
  <si>
    <t>Residential</t>
  </si>
  <si>
    <t>TOTAL OF ADVANCE SALE</t>
  </si>
  <si>
    <t>TOTAL OF INVENTORY SALE RECEIPTS</t>
  </si>
  <si>
    <t>CAR PARKING SALE RECEIPTS</t>
  </si>
  <si>
    <t>CAR PARKING</t>
  </si>
  <si>
    <t>TOTAL OF CAR PARKING SALE RECEIPTS</t>
  </si>
  <si>
    <t>TOTAL INFLOW</t>
  </si>
  <si>
    <t>ASSUMPTIONS FOR INVENTORY SALE PROJECTIONS</t>
  </si>
  <si>
    <t>INVENTORY SALE PROJECTIONS</t>
  </si>
  <si>
    <t>INVENTORY SALE (REVENUE RECEIPTS)</t>
  </si>
  <si>
    <t>REVENUE FROM INVENTORY SALE</t>
  </si>
  <si>
    <t>SALE RATE ESCALATION</t>
  </si>
  <si>
    <t>PROJECT INFORMATION</t>
  </si>
  <si>
    <t>PROJECT NAME</t>
  </si>
  <si>
    <t>DEVELOPER NAME</t>
  </si>
  <si>
    <t>PROJECT COORDINATES</t>
  </si>
  <si>
    <t>PROJECT ADDRESS</t>
  </si>
  <si>
    <t>TOTAL DWELLING UNITS</t>
  </si>
  <si>
    <t>SALABLE AREA (SQ. FT.)</t>
  </si>
  <si>
    <t>AREA TO BE CONSTRUCTED (SQ. FT.)</t>
  </si>
  <si>
    <t>PERMISSIBLE FAR (SQ. FT.)</t>
  </si>
  <si>
    <t>NUMBER OF COVERED CAR PARKING</t>
  </si>
  <si>
    <t>LAND VALUATION-BAGMARI, KOLKATA</t>
  </si>
  <si>
    <t>Location</t>
  </si>
  <si>
    <t>State</t>
  </si>
  <si>
    <t>WEST BENGAL</t>
  </si>
  <si>
    <t>Area</t>
  </si>
  <si>
    <t>MARKET VALUE OF LAND</t>
  </si>
  <si>
    <t>SR. NO.</t>
  </si>
  <si>
    <t>PARTICULAR</t>
  </si>
  <si>
    <t>LOCATION</t>
  </si>
  <si>
    <t>AREA
(SQ. MTR.)</t>
  </si>
  <si>
    <t>AREA
(COTTAHS)</t>
  </si>
  <si>
    <t>MARKET RATE ADOPTED FOR VALUATION
 (Rs. PER COTTAH)</t>
  </si>
  <si>
    <t>FAIR MARKET VALUE
 (INR)</t>
  </si>
  <si>
    <t>REALISABLE VALUE 
(INR)</t>
  </si>
  <si>
    <t>DISTRESS VALUE
(INR)</t>
  </si>
  <si>
    <t>LAND FOR GROUP HOUSING PROJECT</t>
  </si>
  <si>
    <t>Note:</t>
  </si>
  <si>
    <t>1. This Market value of Land is taken from the Property delaers or Local people in that area after counting in other important factors as well.</t>
  </si>
  <si>
    <t>2.All the details related to the land area has been taken from the approved building plan of the project.</t>
  </si>
  <si>
    <r>
      <t xml:space="preserve">RESIDUAL WITHOUT NPV FOR </t>
    </r>
    <r>
      <rPr>
        <b/>
        <u/>
        <sz val="16"/>
        <color rgb="FFFF0000"/>
        <rFont val="Calibri"/>
        <family val="2"/>
        <scheme val="minor"/>
      </rPr>
      <t>FILE NO. VIS (2022-23)-PL 265-204-389</t>
    </r>
  </si>
  <si>
    <t>Plot Area
(Sq. mtr.)</t>
  </si>
  <si>
    <t>Reduction 
(Sq.ft.)</t>
  </si>
  <si>
    <t>Net Area 
(Sq. ft.)</t>
  </si>
  <si>
    <t>Permissible FAR @ 2.475
(Sq. ft.)</t>
  </si>
  <si>
    <t>Salable Area (Sq. Ft.)</t>
  </si>
  <si>
    <t>Area to be Constructed
(Sq. ft.)</t>
  </si>
  <si>
    <t>Residential Plot Area</t>
  </si>
  <si>
    <t>CONSTRUCTION COST @ 2000 per Sq. ft.</t>
  </si>
  <si>
    <t>SOFT COST @ 30% of CONSTRUCTION COST</t>
  </si>
  <si>
    <t>PROFIT @ 26% OF REVENUE FROM SALES</t>
  </si>
  <si>
    <t>RESIDUAL VALUE OF LAND</t>
  </si>
  <si>
    <t>REALISABLE VALUE</t>
  </si>
  <si>
    <t>FAIR MARKET VALUE</t>
  </si>
  <si>
    <t>DISTRESS VALUE</t>
  </si>
  <si>
    <t>LAND VALUE BY RESIDUAL METHOD</t>
  </si>
  <si>
    <t>LAND VALUE BY SALES COMPARABLE</t>
  </si>
  <si>
    <t>LAND VALUE BY GUIDELINE RATE</t>
  </si>
  <si>
    <t>FLAT INVENTORY VALUE (5 Years Period)</t>
  </si>
  <si>
    <t>BASE SALE RATE (RS./SQ. FT.)</t>
  </si>
  <si>
    <t>GUIDELINE VALUE OF LAND</t>
  </si>
  <si>
    <t>-</t>
  </si>
  <si>
    <t>GUIDELINE RATE ADOPTED FOR VALUATION</t>
  </si>
  <si>
    <t>"SANCTORUM" Group Housing society</t>
  </si>
  <si>
    <t>22°33'27.7"N 88°23'57.2"E</t>
  </si>
  <si>
    <t>64 Units in 1 Tower (B+G+11 Floors)</t>
  </si>
  <si>
    <t>NUMBER OF OPEN CAR PARKING</t>
  </si>
  <si>
    <t>REVENUE FROM SALE OF INVENTORY @ 6500 per Sq. ft.</t>
  </si>
  <si>
    <t>APPROX. 39 COTTAHS</t>
  </si>
  <si>
    <t xml:space="preserve">VALUATION OF PROJECT LAND BY GUIDLINE VALUE|M/s. HONEYBIRD REAL ESTATE LLP|PAGLADANGA ROAD, KOLKATA, WEST BENGAL </t>
  </si>
  <si>
    <t>source: https://www.makaan.com/kolkata/builder-project-in-tangra-19783337/3bhk-2t-1535-sqft-apartment</t>
  </si>
  <si>
    <t>M/s Honeybird Heights LLP</t>
  </si>
  <si>
    <t>source: https://housing.com/buy-7200-sqft-residential-plot-in-tangra-for-rs-32500000-rid-6878863</t>
  </si>
  <si>
    <t>source: https://www.99acres.com/residential-land-plot-for-sale-in-tangra-east-kolkata-170-sq-yard-spid-A65328548</t>
  </si>
  <si>
    <t>source: https://www.99acres.com/4-bhk-bedroom-apartment-flat-for-sale-in-metropolitan-co-operative-housing-society-chingrighata-east-kolkata-2200-sq-ft-spid-S64742034</t>
  </si>
  <si>
    <t>source: https://www.99acres.com/3-bhk-bedroom-apartment-flat-for-sale-in-ps-palm-spring-tangra-east-kolkata-1556-sq-ft-spid-A64964664</t>
  </si>
  <si>
    <t>VALUATION OF PROJECT LAND BY SALES COMPARABLE METHOD|M/s. HONEYBIRD HEIGHTS LLP|PAGLADANGA ROAD, KOLKATA, WEST BENGAL STATE</t>
  </si>
  <si>
    <t>PAGLADANGA ROAD, PRAGATI MAIDAN, KOLKATA</t>
  </si>
  <si>
    <t>LAND VALUATION-PAGLADANGA ROAD, PRAGATI MAIDAN, KOLKATA</t>
  </si>
  <si>
    <t>RESIDENTIAL (RS/ SQ. FT.)</t>
  </si>
  <si>
    <t>RV</t>
  </si>
  <si>
    <t>DV</t>
  </si>
  <si>
    <t>FAIR MARKET VALUE
 (INR)(ROUND OFF)</t>
  </si>
  <si>
    <t>WITHOUT BOUNDARY WALL</t>
  </si>
  <si>
    <t>WITH BOUNDARY WALL</t>
  </si>
  <si>
    <t>LAND AREA (SQ. MTR./COTTAH)</t>
  </si>
  <si>
    <t>2,579.05 Sq. mtr./38.56 Cottah</t>
  </si>
  <si>
    <t xml:space="preserve">1. This Guideline value of land has been taken from https://wbregistration.gov.in/%28S%28g552emq4bkjc2su01vo1sorm%29%29/MV/MV_Land.aspx?type=L </t>
  </si>
  <si>
    <t>PAGLADANGA RODA, PRAGATI MAIDAN KOLKATA</t>
  </si>
  <si>
    <t>APPROX. 38.56 COTTAHS</t>
  </si>
  <si>
    <t>TOTAL INFLOW(FMV)(INC. BOUNDARY WALL.)</t>
  </si>
  <si>
    <t>COVERED CAR PARKING RATE (RS./SPACE)</t>
  </si>
  <si>
    <t>OPEN CAR PARKING RATE (RS./SPACE)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</si>
</sst>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&quot;₹&quot;\ #,##0.00"/>
    <numFmt numFmtId="165" formatCode="_(* #,##0.00_);_(* \(#,##0.00\);_(* &quot;-&quot;??_);_(@_)"/>
    <numFmt numFmtId="166" formatCode="_ * #,##0_ ;_ * \-#,##0_ ;_ * &quot;-&quot;??_ ;_ @_ "/>
    <numFmt numFmtId="167" formatCode="&quot;₹&quot;\ #,##0"/>
    <numFmt numFmtId="168" formatCode="_ [$₹-4009]\ * #,##0_ ;_ [$₹-4009]\ * \-#,##0_ ;_ [$₹-4009]\ * &quot;-&quot;??_ ;_ @_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6"/>
      <color theme="4" tint="-0.249977111117893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8"/>
      <color theme="8" tint="-0.499984740745262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6"/>
      <color theme="4" tint="-0.499984740745262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Arial"/>
      <family val="2"/>
    </font>
    <font>
      <sz val="11"/>
      <color theme="9" tint="-0.499984740745262"/>
      <name val="Calibri"/>
      <family val="2"/>
      <scheme val="minor"/>
    </font>
    <font>
      <u/>
      <sz val="11"/>
      <color theme="9" tint="-0.49998474074526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-0.499984740745262"/>
        <bgColor indexed="64"/>
      </patternFill>
    </fill>
  </fills>
  <borders count="22">
    <border>
      <left/>
      <right/>
      <top/>
      <bottom/>
      <diagonal/>
    </border>
    <border>
      <left style="double">
        <color theme="4" tint="0.79998168889431442"/>
      </left>
      <right style="double">
        <color theme="4" tint="0.79998168889431442"/>
      </right>
      <top style="double">
        <color theme="4" tint="0.79998168889431442"/>
      </top>
      <bottom style="double">
        <color theme="4" tint="0.79998168889431442"/>
      </bottom>
      <diagonal/>
    </border>
    <border>
      <left style="double">
        <color theme="4" tint="0.79998168889431442"/>
      </left>
      <right/>
      <top style="double">
        <color theme="4" tint="0.79998168889431442"/>
      </top>
      <bottom style="double">
        <color theme="4" tint="0.79998168889431442"/>
      </bottom>
      <diagonal/>
    </border>
    <border>
      <left/>
      <right/>
      <top style="double">
        <color theme="4" tint="0.79998168889431442"/>
      </top>
      <bottom style="double">
        <color theme="4" tint="0.79998168889431442"/>
      </bottom>
      <diagonal/>
    </border>
    <border>
      <left/>
      <right style="double">
        <color theme="4" tint="0.79998168889431442"/>
      </right>
      <top style="double">
        <color theme="4" tint="0.79998168889431442"/>
      </top>
      <bottom style="double">
        <color theme="4" tint="0.79998168889431442"/>
      </bottom>
      <diagonal/>
    </border>
    <border>
      <left style="double">
        <color theme="4" tint="0.39994506668294322"/>
      </left>
      <right/>
      <top/>
      <bottom/>
      <diagonal/>
    </border>
    <border>
      <left style="double">
        <color theme="4" tint="0.39994506668294322"/>
      </left>
      <right style="double">
        <color theme="4" tint="0.39994506668294322"/>
      </right>
      <top style="double">
        <color theme="4" tint="0.39994506668294322"/>
      </top>
      <bottom style="double">
        <color theme="4" tint="0.39994506668294322"/>
      </bottom>
      <diagonal/>
    </border>
    <border>
      <left style="double">
        <color theme="4" tint="-0.499984740745262"/>
      </left>
      <right/>
      <top style="double">
        <color theme="4" tint="-0.499984740745262"/>
      </top>
      <bottom style="double">
        <color theme="4" tint="-0.499984740745262"/>
      </bottom>
      <diagonal/>
    </border>
    <border>
      <left/>
      <right/>
      <top style="double">
        <color theme="4" tint="-0.499984740745262"/>
      </top>
      <bottom style="double">
        <color theme="4" tint="-0.499984740745262"/>
      </bottom>
      <diagonal/>
    </border>
    <border>
      <left/>
      <right style="double">
        <color theme="4" tint="-0.499984740745262"/>
      </right>
      <top style="double">
        <color theme="4" tint="-0.499984740745262"/>
      </top>
      <bottom style="double">
        <color theme="4" tint="-0.499984740745262"/>
      </bottom>
      <diagonal/>
    </border>
    <border>
      <left style="double">
        <color theme="4" tint="-0.499984740745262"/>
      </left>
      <right style="double">
        <color theme="4" tint="-0.499984740745262"/>
      </right>
      <top style="double">
        <color theme="4" tint="-0.499984740745262"/>
      </top>
      <bottom style="double">
        <color theme="4" tint="-0.499984740745262"/>
      </bottom>
      <diagonal/>
    </border>
    <border>
      <left style="medium">
        <color theme="8" tint="0.79998168889431442"/>
      </left>
      <right style="medium">
        <color theme="8" tint="0.79998168889431442"/>
      </right>
      <top style="medium">
        <color theme="8" tint="0.79998168889431442"/>
      </top>
      <bottom style="medium">
        <color theme="8" tint="0.79998168889431442"/>
      </bottom>
      <diagonal/>
    </border>
    <border>
      <left/>
      <right/>
      <top style="medium">
        <color theme="8" tint="0.79998168889431442"/>
      </top>
      <bottom style="medium">
        <color theme="8" tint="0.79998168889431442"/>
      </bottom>
      <diagonal/>
    </border>
    <border>
      <left style="double">
        <color theme="8" tint="-0.24994659260841701"/>
      </left>
      <right/>
      <top/>
      <bottom style="double">
        <color theme="8" tint="-0.24994659260841701"/>
      </bottom>
      <diagonal/>
    </border>
    <border>
      <left/>
      <right/>
      <top/>
      <bottom style="double">
        <color theme="8" tint="-0.24994659260841701"/>
      </bottom>
      <diagonal/>
    </border>
    <border>
      <left style="double">
        <color theme="8" tint="-0.24994659260841701"/>
      </left>
      <right style="double">
        <color theme="8" tint="-0.24994659260841701"/>
      </right>
      <top style="double">
        <color theme="8" tint="-0.24994659260841701"/>
      </top>
      <bottom style="double">
        <color theme="8" tint="-0.24994659260841701"/>
      </bottom>
      <diagonal/>
    </border>
    <border>
      <left style="medium">
        <color theme="8" tint="-0.24994659260841701"/>
      </left>
      <right/>
      <top style="double">
        <color theme="8" tint="-0.24994659260841701"/>
      </top>
      <bottom style="medium">
        <color theme="8" tint="-0.24994659260841701"/>
      </bottom>
      <diagonal/>
    </border>
    <border>
      <left/>
      <right/>
      <top style="double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double">
        <color theme="8" tint="-0.24994659260841701"/>
      </top>
      <bottom style="medium">
        <color theme="8" tint="-0.24994659260841701"/>
      </bottom>
      <diagonal/>
    </border>
    <border>
      <left style="double">
        <color theme="4" tint="-0.499984740745262"/>
      </left>
      <right style="double">
        <color theme="4" tint="-0.499984740745262"/>
      </right>
      <top/>
      <bottom style="double">
        <color theme="4" tint="-0.499984740745262"/>
      </bottom>
      <diagonal/>
    </border>
    <border>
      <left/>
      <right/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/>
      <bottom style="medium">
        <color theme="8" tint="0.7999816888943144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5" fontId="20" fillId="0" borderId="0" applyFont="0" applyFill="0" applyBorder="0" applyAlignment="0" applyProtection="0"/>
  </cellStyleXfs>
  <cellXfs count="114">
    <xf numFmtId="0" fontId="0" fillId="0" borderId="0" xfId="0"/>
    <xf numFmtId="0" fontId="5" fillId="2" borderId="0" xfId="0" applyFont="1" applyFill="1"/>
    <xf numFmtId="0" fontId="0" fillId="2" borderId="0" xfId="0" applyFill="1"/>
    <xf numFmtId="0" fontId="2" fillId="3" borderId="1" xfId="0" applyFont="1" applyFill="1" applyBorder="1"/>
    <xf numFmtId="0" fontId="3" fillId="2" borderId="1" xfId="0" applyFont="1" applyFill="1" applyBorder="1"/>
    <xf numFmtId="0" fontId="0" fillId="2" borderId="1" xfId="0" applyFill="1" applyBorder="1"/>
    <xf numFmtId="9" fontId="0" fillId="2" borderId="0" xfId="0" applyNumberFormat="1" applyFill="1"/>
    <xf numFmtId="0" fontId="2" fillId="3" borderId="1" xfId="0" applyFon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0" fontId="4" fillId="0" borderId="0" xfId="2"/>
    <xf numFmtId="0" fontId="2" fillId="3" borderId="6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center" vertical="center"/>
    </xf>
    <xf numFmtId="0" fontId="3" fillId="2" borderId="7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0" fillId="2" borderId="10" xfId="0" applyFill="1" applyBorder="1"/>
    <xf numFmtId="43" fontId="0" fillId="2" borderId="10" xfId="1" applyFont="1" applyFill="1" applyBorder="1" applyAlignment="1">
      <alignment horizontal="center" vertical="center"/>
    </xf>
    <xf numFmtId="0" fontId="3" fillId="2" borderId="10" xfId="0" applyFont="1" applyFill="1" applyBorder="1"/>
    <xf numFmtId="43" fontId="3" fillId="2" borderId="10" xfId="1" applyFont="1" applyFill="1" applyBorder="1" applyAlignment="1">
      <alignment horizontal="center" vertical="center"/>
    </xf>
    <xf numFmtId="43" fontId="0" fillId="2" borderId="8" xfId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 wrapText="1"/>
    </xf>
    <xf numFmtId="0" fontId="3" fillId="5" borderId="10" xfId="0" applyFont="1" applyFill="1" applyBorder="1"/>
    <xf numFmtId="43" fontId="3" fillId="5" borderId="10" xfId="1" applyFont="1" applyFill="1" applyBorder="1"/>
    <xf numFmtId="0" fontId="9" fillId="2" borderId="0" xfId="0" applyFont="1" applyFill="1"/>
    <xf numFmtId="0" fontId="10" fillId="5" borderId="0" xfId="0" applyFont="1" applyFill="1"/>
    <xf numFmtId="0" fontId="3" fillId="5" borderId="0" xfId="0" applyFont="1" applyFill="1"/>
    <xf numFmtId="44" fontId="2" fillId="3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vertical="center" wrapText="1"/>
    </xf>
    <xf numFmtId="0" fontId="0" fillId="0" borderId="15" xfId="0" applyBorder="1" applyAlignment="1">
      <alignment horizontal="center" vertical="center" wrapText="1"/>
    </xf>
    <xf numFmtId="4" fontId="0" fillId="0" borderId="15" xfId="1" applyNumberFormat="1" applyFon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4" fontId="3" fillId="5" borderId="15" xfId="0" applyNumberFormat="1" applyFont="1" applyFill="1" applyBorder="1" applyAlignment="1">
      <alignment horizontal="center" vertical="center"/>
    </xf>
    <xf numFmtId="164" fontId="3" fillId="5" borderId="15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2" fontId="3" fillId="2" borderId="0" xfId="0" applyNumberFormat="1" applyFont="1" applyFill="1" applyAlignment="1">
      <alignment horizontal="center" vertical="center"/>
    </xf>
    <xf numFmtId="44" fontId="3" fillId="2" borderId="0" xfId="0" applyNumberFormat="1" applyFont="1" applyFill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3" fillId="2" borderId="19" xfId="0" applyFont="1" applyFill="1" applyBorder="1"/>
    <xf numFmtId="0" fontId="3" fillId="2" borderId="19" xfId="0" applyFont="1" applyFill="1" applyBorder="1" applyAlignment="1">
      <alignment wrapText="1"/>
    </xf>
    <xf numFmtId="43" fontId="0" fillId="2" borderId="10" xfId="1" applyFont="1" applyFill="1" applyBorder="1"/>
    <xf numFmtId="43" fontId="0" fillId="2" borderId="10" xfId="1" applyFont="1" applyFill="1" applyBorder="1" applyAlignment="1">
      <alignment wrapText="1"/>
    </xf>
    <xf numFmtId="0" fontId="3" fillId="2" borderId="20" xfId="0" applyFont="1" applyFill="1" applyBorder="1"/>
    <xf numFmtId="43" fontId="0" fillId="2" borderId="20" xfId="0" applyNumberFormat="1" applyFill="1" applyBorder="1"/>
    <xf numFmtId="0" fontId="3" fillId="2" borderId="0" xfId="0" applyFont="1" applyFill="1"/>
    <xf numFmtId="0" fontId="2" fillId="3" borderId="0" xfId="0" applyFont="1" applyFill="1"/>
    <xf numFmtId="43" fontId="2" fillId="3" borderId="0" xfId="0" applyNumberFormat="1" applyFont="1" applyFill="1"/>
    <xf numFmtId="0" fontId="17" fillId="2" borderId="0" xfId="0" applyFont="1" applyFill="1"/>
    <xf numFmtId="0" fontId="18" fillId="6" borderId="11" xfId="0" applyFont="1" applyFill="1" applyBorder="1"/>
    <xf numFmtId="0" fontId="17" fillId="5" borderId="11" xfId="0" applyFont="1" applyFill="1" applyBorder="1"/>
    <xf numFmtId="4" fontId="17" fillId="5" borderId="11" xfId="0" applyNumberFormat="1" applyFont="1" applyFill="1" applyBorder="1" applyAlignment="1">
      <alignment horizontal="left"/>
    </xf>
    <xf numFmtId="0" fontId="17" fillId="5" borderId="11" xfId="0" applyFont="1" applyFill="1" applyBorder="1" applyAlignment="1">
      <alignment horizontal="left"/>
    </xf>
    <xf numFmtId="0" fontId="18" fillId="2" borderId="0" xfId="0" applyFont="1" applyFill="1"/>
    <xf numFmtId="0" fontId="18" fillId="6" borderId="0" xfId="0" applyFont="1" applyFill="1"/>
    <xf numFmtId="3" fontId="17" fillId="5" borderId="0" xfId="0" applyNumberFormat="1" applyFont="1" applyFill="1" applyAlignment="1">
      <alignment horizontal="left"/>
    </xf>
    <xf numFmtId="4" fontId="17" fillId="2" borderId="0" xfId="0" applyNumberFormat="1" applyFont="1" applyFill="1" applyAlignment="1">
      <alignment horizontal="left"/>
    </xf>
    <xf numFmtId="0" fontId="18" fillId="3" borderId="11" xfId="0" applyFont="1" applyFill="1" applyBorder="1"/>
    <xf numFmtId="4" fontId="18" fillId="7" borderId="11" xfId="0" applyNumberFormat="1" applyFont="1" applyFill="1" applyBorder="1" applyAlignment="1">
      <alignment horizontal="left"/>
    </xf>
    <xf numFmtId="4" fontId="19" fillId="7" borderId="12" xfId="0" applyNumberFormat="1" applyFont="1" applyFill="1" applyBorder="1" applyAlignment="1">
      <alignment horizontal="left"/>
    </xf>
    <xf numFmtId="0" fontId="18" fillId="2" borderId="12" xfId="0" applyFont="1" applyFill="1" applyBorder="1"/>
    <xf numFmtId="4" fontId="19" fillId="2" borderId="12" xfId="0" applyNumberFormat="1" applyFont="1" applyFill="1" applyBorder="1" applyAlignment="1">
      <alignment horizontal="left"/>
    </xf>
    <xf numFmtId="9" fontId="0" fillId="2" borderId="1" xfId="0" applyNumberFormat="1" applyFill="1" applyBorder="1" applyAlignment="1">
      <alignment horizontal="center" vertical="center"/>
    </xf>
    <xf numFmtId="0" fontId="17" fillId="5" borderId="11" xfId="0" applyFont="1" applyFill="1" applyBorder="1" applyAlignment="1">
      <alignment wrapText="1"/>
    </xf>
    <xf numFmtId="0" fontId="18" fillId="6" borderId="11" xfId="0" applyFont="1" applyFill="1" applyBorder="1" applyAlignment="1">
      <alignment horizontal="left" vertical="center"/>
    </xf>
    <xf numFmtId="3" fontId="17" fillId="5" borderId="11" xfId="0" applyNumberFormat="1" applyFont="1" applyFill="1" applyBorder="1" applyAlignment="1">
      <alignment horizontal="left"/>
    </xf>
    <xf numFmtId="166" fontId="0" fillId="2" borderId="0" xfId="0" applyNumberFormat="1" applyFill="1"/>
    <xf numFmtId="166" fontId="0" fillId="2" borderId="0" xfId="1" applyNumberFormat="1" applyFont="1" applyFill="1"/>
    <xf numFmtId="0" fontId="3" fillId="5" borderId="0" xfId="0" applyFont="1" applyFill="1" applyAlignment="1">
      <alignment wrapText="1"/>
    </xf>
    <xf numFmtId="0" fontId="10" fillId="5" borderId="0" xfId="0" applyFont="1" applyFill="1" applyAlignment="1">
      <alignment vertical="center"/>
    </xf>
    <xf numFmtId="0" fontId="18" fillId="8" borderId="21" xfId="0" applyFont="1" applyFill="1" applyBorder="1" applyAlignment="1"/>
    <xf numFmtId="0" fontId="21" fillId="2" borderId="0" xfId="0" applyFont="1" applyFill="1"/>
    <xf numFmtId="0" fontId="22" fillId="2" borderId="0" xfId="0" applyFont="1" applyFill="1"/>
    <xf numFmtId="167" fontId="0" fillId="0" borderId="15" xfId="0" applyNumberFormat="1" applyBorder="1" applyAlignment="1">
      <alignment horizontal="center" vertical="center"/>
    </xf>
    <xf numFmtId="167" fontId="3" fillId="5" borderId="15" xfId="0" applyNumberFormat="1" applyFont="1" applyFill="1" applyBorder="1" applyAlignment="1">
      <alignment horizontal="center" vertical="center"/>
    </xf>
    <xf numFmtId="4" fontId="0" fillId="0" borderId="15" xfId="0" applyNumberFormat="1" applyBorder="1" applyAlignment="1">
      <alignment horizontal="center" vertical="center"/>
    </xf>
    <xf numFmtId="168" fontId="3" fillId="2" borderId="10" xfId="1" applyNumberFormat="1" applyFont="1" applyFill="1" applyBorder="1" applyAlignment="1">
      <alignment horizontal="center" vertical="center"/>
    </xf>
    <xf numFmtId="0" fontId="21" fillId="0" borderId="0" xfId="2" applyFont="1"/>
    <xf numFmtId="0" fontId="16" fillId="4" borderId="0" xfId="0" applyFont="1" applyFill="1" applyAlignment="1">
      <alignment horizontal="center" vertical="center"/>
    </xf>
    <xf numFmtId="0" fontId="18" fillId="8" borderId="2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6" fillId="4" borderId="0" xfId="0" applyFont="1" applyFill="1" applyAlignment="1">
      <alignment horizontal="center"/>
    </xf>
    <xf numFmtId="0" fontId="7" fillId="2" borderId="0" xfId="0" applyFont="1" applyFill="1" applyAlignment="1">
      <alignment horizontal="right"/>
    </xf>
    <xf numFmtId="0" fontId="2" fillId="3" borderId="5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/>
    </xf>
    <xf numFmtId="0" fontId="13" fillId="2" borderId="16" xfId="0" applyFont="1" applyFill="1" applyBorder="1" applyAlignment="1">
      <alignment horizontal="left" vertical="center"/>
    </xf>
    <xf numFmtId="0" fontId="13" fillId="2" borderId="17" xfId="0" applyFont="1" applyFill="1" applyBorder="1" applyAlignment="1">
      <alignment horizontal="left" vertical="center"/>
    </xf>
    <xf numFmtId="0" fontId="13" fillId="2" borderId="18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wrapText="1"/>
    </xf>
    <xf numFmtId="0" fontId="11" fillId="3" borderId="1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/>
    </xf>
    <xf numFmtId="0" fontId="8" fillId="2" borderId="0" xfId="0" applyFont="1" applyFill="1" applyAlignment="1">
      <alignment horizontal="left"/>
    </xf>
    <xf numFmtId="0" fontId="11" fillId="3" borderId="13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left" vertical="center" wrapText="1"/>
    </xf>
    <xf numFmtId="0" fontId="13" fillId="2" borderId="17" xfId="0" applyFont="1" applyFill="1" applyBorder="1" applyAlignment="1">
      <alignment horizontal="left" vertical="center" wrapText="1"/>
    </xf>
    <xf numFmtId="0" fontId="13" fillId="2" borderId="18" xfId="0" applyFont="1" applyFill="1" applyBorder="1" applyAlignment="1">
      <alignment horizontal="left" vertical="center" wrapText="1"/>
    </xf>
    <xf numFmtId="0" fontId="3" fillId="5" borderId="10" xfId="0" applyFont="1" applyFill="1" applyBorder="1" applyAlignment="1">
      <alignment wrapText="1"/>
    </xf>
  </cellXfs>
  <cellStyles count="4">
    <cellStyle name="Comma" xfId="1" builtinId="3"/>
    <cellStyle name="Comma 2 2 3" xf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tmp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tmp"/><Relationship Id="rId1" Type="http://schemas.openxmlformats.org/officeDocument/2006/relationships/image" Target="../media/image4.tmp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7</xdr:col>
      <xdr:colOff>960218</xdr:colOff>
      <xdr:row>33</xdr:row>
      <xdr:rowOff>66675</xdr:rowOff>
    </xdr:to>
    <xdr:pic>
      <xdr:nvPicPr>
        <xdr:cNvPr id="12" name="Picture 11" descr="Screen Clippi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4419600"/>
          <a:ext cx="6846668" cy="235267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36</xdr:row>
      <xdr:rowOff>1</xdr:rowOff>
    </xdr:from>
    <xdr:to>
      <xdr:col>7</xdr:col>
      <xdr:colOff>1010656</xdr:colOff>
      <xdr:row>53</xdr:row>
      <xdr:rowOff>142875</xdr:rowOff>
    </xdr:to>
    <xdr:pic>
      <xdr:nvPicPr>
        <xdr:cNvPr id="13" name="Picture 12" descr="Screen Clippin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7277101"/>
          <a:ext cx="6897106" cy="338137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0</xdr:colOff>
      <xdr:row>57</xdr:row>
      <xdr:rowOff>85726</xdr:rowOff>
    </xdr:from>
    <xdr:to>
      <xdr:col>7</xdr:col>
      <xdr:colOff>1038225</xdr:colOff>
      <xdr:row>75</xdr:row>
      <xdr:rowOff>38100</xdr:rowOff>
    </xdr:to>
    <xdr:pic>
      <xdr:nvPicPr>
        <xdr:cNvPr id="14" name="Picture 13" descr="Screen Clipping"/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876"/>
        <a:stretch/>
      </xdr:blipFill>
      <xdr:spPr>
        <a:xfrm>
          <a:off x="0" y="11363326"/>
          <a:ext cx="7058025" cy="338137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</xdr:row>
      <xdr:rowOff>0</xdr:rowOff>
    </xdr:from>
    <xdr:to>
      <xdr:col>6</xdr:col>
      <xdr:colOff>658177</xdr:colOff>
      <xdr:row>29</xdr:row>
      <xdr:rowOff>47960</xdr:rowOff>
    </xdr:to>
    <xdr:pic>
      <xdr:nvPicPr>
        <xdr:cNvPr id="2" name="Picture 1" descr="Screen Clippi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5076825"/>
          <a:ext cx="6820852" cy="240063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6</xdr:col>
      <xdr:colOff>704850</xdr:colOff>
      <xdr:row>46</xdr:row>
      <xdr:rowOff>45524</xdr:rowOff>
    </xdr:to>
    <xdr:pic>
      <xdr:nvPicPr>
        <xdr:cNvPr id="4" name="Picture 3" descr="Screen Clippin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7934325"/>
          <a:ext cx="6867525" cy="252202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133349</xdr:colOff>
      <xdr:row>17</xdr:row>
      <xdr:rowOff>0</xdr:rowOff>
    </xdr:from>
    <xdr:to>
      <xdr:col>16</xdr:col>
      <xdr:colOff>595095</xdr:colOff>
      <xdr:row>55</xdr:row>
      <xdr:rowOff>57150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49" y="5372100"/>
          <a:ext cx="12996646" cy="72961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pdated%20Data/Annexures%20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t project"/>
      <sheetName val="Ongoing"/>
      <sheetName val="Project"/>
      <sheetName val="Interest"/>
      <sheetName val="Cash Flow-Normal"/>
      <sheetName val="Income"/>
      <sheetName val="Financials"/>
      <sheetName val="Cash Flow"/>
      <sheetName val="Cash Flow@90% sales"/>
      <sheetName val="Cash Flow @110%cost"/>
      <sheetName val="Repayment Schedule"/>
      <sheetName val="Secured Long loans"/>
      <sheetName val="Secured Short Term Loans"/>
      <sheetName val="Sheet1"/>
      <sheetName val="Pagladanga"/>
      <sheetName val="Sheet2"/>
      <sheetName val="Area"/>
      <sheetName val="LLP Agreement"/>
      <sheetName val="Others Details"/>
      <sheetName val="Dev Agreement"/>
      <sheetName val="Till date Cost"/>
    </sheetNames>
    <sheetDataSet>
      <sheetData sheetId="0"/>
      <sheetData sheetId="1"/>
      <sheetData sheetId="2">
        <row r="4">
          <cell r="C4" t="str">
            <v>Premises No. 17, Pagladanga Road, P.S. : Pragati Maidan, (Formerly Tiljala), Ward No. 57, Borough-VII under the KMC, Kolkata-700105</v>
          </cell>
        </row>
        <row r="28">
          <cell r="F28">
            <v>63384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9"/>
  <sheetViews>
    <sheetView tabSelected="1" workbookViewId="0">
      <selection activeCell="C8" sqref="C8"/>
    </sheetView>
  </sheetViews>
  <sheetFormatPr defaultRowHeight="12.75" x14ac:dyDescent="0.2"/>
  <cols>
    <col min="1" max="1" width="2" style="51" customWidth="1"/>
    <col min="2" max="2" width="34" style="51" bestFit="1" customWidth="1"/>
    <col min="3" max="3" width="39.85546875" style="51" customWidth="1"/>
    <col min="4" max="4" width="26" style="51" customWidth="1"/>
    <col min="5" max="16384" width="9.140625" style="51"/>
  </cols>
  <sheetData>
    <row r="2" spans="2:3" x14ac:dyDescent="0.2">
      <c r="B2" s="81" t="s">
        <v>27</v>
      </c>
      <c r="C2" s="81"/>
    </row>
    <row r="3" spans="2:3" ht="13.5" thickBot="1" x14ac:dyDescent="0.25"/>
    <row r="4" spans="2:3" ht="13.5" thickBot="1" x14ac:dyDescent="0.25">
      <c r="B4" s="52" t="s">
        <v>28</v>
      </c>
      <c r="C4" s="53" t="s">
        <v>79</v>
      </c>
    </row>
    <row r="5" spans="2:3" ht="13.5" thickBot="1" x14ac:dyDescent="0.25">
      <c r="B5" s="52" t="s">
        <v>29</v>
      </c>
      <c r="C5" s="53" t="s">
        <v>87</v>
      </c>
    </row>
    <row r="6" spans="2:3" ht="13.5" thickBot="1" x14ac:dyDescent="0.25">
      <c r="B6" s="52" t="s">
        <v>101</v>
      </c>
      <c r="C6" s="54" t="s">
        <v>102</v>
      </c>
    </row>
    <row r="7" spans="2:3" ht="13.5" thickBot="1" x14ac:dyDescent="0.25">
      <c r="B7" s="52" t="s">
        <v>30</v>
      </c>
      <c r="C7" s="55" t="s">
        <v>80</v>
      </c>
    </row>
    <row r="8" spans="2:3" ht="42.75" customHeight="1" thickBot="1" x14ac:dyDescent="0.25">
      <c r="B8" s="67" t="s">
        <v>31</v>
      </c>
      <c r="C8" s="66" t="str">
        <f>[1]Project!$C$4</f>
        <v>Premises No. 17, Pagladanga Road, P.S. : Pragati Maidan, (Formerly Tiljala), Ward No. 57, Borough-VII under the KMC, Kolkata-700105</v>
      </c>
    </row>
    <row r="9" spans="2:3" ht="13.5" customHeight="1" thickBot="1" x14ac:dyDescent="0.25">
      <c r="B9" s="56"/>
    </row>
    <row r="10" spans="2:3" ht="13.5" customHeight="1" thickBot="1" x14ac:dyDescent="0.25">
      <c r="B10" s="52" t="s">
        <v>32</v>
      </c>
      <c r="C10" s="53" t="s">
        <v>81</v>
      </c>
    </row>
    <row r="11" spans="2:3" ht="13.5" customHeight="1" thickBot="1" x14ac:dyDescent="0.25">
      <c r="B11" s="52" t="s">
        <v>33</v>
      </c>
      <c r="C11" s="68">
        <f>[1]Project!$F$28</f>
        <v>63384</v>
      </c>
    </row>
    <row r="12" spans="2:3" ht="13.5" customHeight="1" thickBot="1" x14ac:dyDescent="0.25">
      <c r="B12" s="52" t="s">
        <v>34</v>
      </c>
      <c r="C12" s="68">
        <f>7526.8581*10.764</f>
        <v>81019.100588400004</v>
      </c>
    </row>
    <row r="13" spans="2:3" ht="13.5" customHeight="1" thickBot="1" x14ac:dyDescent="0.25">
      <c r="B13" s="52" t="s">
        <v>35</v>
      </c>
      <c r="C13" s="68">
        <f>2579.05*10.764*2.475</f>
        <v>68708.213145000002</v>
      </c>
    </row>
    <row r="14" spans="2:3" x14ac:dyDescent="0.2">
      <c r="B14" s="57" t="s">
        <v>36</v>
      </c>
      <c r="C14" s="58">
        <v>50</v>
      </c>
    </row>
    <row r="15" spans="2:3" x14ac:dyDescent="0.2">
      <c r="B15" s="57" t="s">
        <v>82</v>
      </c>
      <c r="C15" s="58">
        <v>18</v>
      </c>
    </row>
    <row r="16" spans="2:3" ht="13.5" thickBot="1" x14ac:dyDescent="0.25">
      <c r="B16" s="56"/>
    </row>
    <row r="17" spans="2:7" ht="13.5" thickBot="1" x14ac:dyDescent="0.25">
      <c r="B17" s="52" t="s">
        <v>75</v>
      </c>
      <c r="C17" s="68">
        <v>6000</v>
      </c>
    </row>
    <row r="18" spans="2:7" ht="13.5" thickBot="1" x14ac:dyDescent="0.25">
      <c r="B18" s="57" t="s">
        <v>107</v>
      </c>
      <c r="C18" s="68">
        <v>600000</v>
      </c>
    </row>
    <row r="19" spans="2:7" ht="13.5" thickBot="1" x14ac:dyDescent="0.25">
      <c r="B19" s="57" t="s">
        <v>108</v>
      </c>
      <c r="C19" s="68">
        <v>500000</v>
      </c>
    </row>
    <row r="20" spans="2:7" x14ac:dyDescent="0.2">
      <c r="B20" s="56"/>
      <c r="C20" s="59"/>
    </row>
    <row r="21" spans="2:7" ht="15.75" customHeight="1" thickBot="1" x14ac:dyDescent="0.25">
      <c r="B21" s="73" t="s">
        <v>74</v>
      </c>
      <c r="C21" s="73" t="s">
        <v>99</v>
      </c>
      <c r="D21" s="73" t="s">
        <v>100</v>
      </c>
      <c r="G21" s="51">
        <f>227*5000</f>
        <v>1135000</v>
      </c>
    </row>
    <row r="22" spans="2:7" ht="13.5" thickBot="1" x14ac:dyDescent="0.25">
      <c r="B22" s="60" t="s">
        <v>69</v>
      </c>
      <c r="C22" s="61">
        <f>Inflow!H20</f>
        <v>48.250856243135999</v>
      </c>
      <c r="D22" s="61">
        <f>C22+0.12</f>
        <v>48.370856243135997</v>
      </c>
    </row>
    <row r="23" spans="2:7" ht="13.5" thickBot="1" x14ac:dyDescent="0.25">
      <c r="B23" s="60" t="s">
        <v>68</v>
      </c>
      <c r="C23" s="61">
        <f>C22*(1-15%)</f>
        <v>41.013227806665597</v>
      </c>
      <c r="D23" s="61">
        <f>D22*0.85</f>
        <v>41.115227806665594</v>
      </c>
    </row>
    <row r="24" spans="2:7" ht="13.5" thickBot="1" x14ac:dyDescent="0.25">
      <c r="B24" s="60" t="s">
        <v>70</v>
      </c>
      <c r="C24" s="61">
        <f>C22*(1-25%)</f>
        <v>36.188142182351996</v>
      </c>
      <c r="D24" s="61">
        <f>D22*0.75</f>
        <v>36.278142182351999</v>
      </c>
    </row>
    <row r="26" spans="2:7" ht="13.5" thickBot="1" x14ac:dyDescent="0.25">
      <c r="B26" s="73" t="s">
        <v>72</v>
      </c>
      <c r="C26" s="73"/>
    </row>
    <row r="27" spans="2:7" ht="13.5" thickBot="1" x14ac:dyDescent="0.25">
      <c r="B27" s="60" t="s">
        <v>69</v>
      </c>
      <c r="C27" s="61">
        <f>'Land Valuation (Market)'!H12/10^7</f>
        <v>9.6391993750000005</v>
      </c>
    </row>
    <row r="28" spans="2:7" ht="13.5" thickBot="1" x14ac:dyDescent="0.25">
      <c r="B28" s="60" t="s">
        <v>68</v>
      </c>
      <c r="C28" s="61">
        <f>C27*(1-15%)</f>
        <v>8.1933194687499995</v>
      </c>
    </row>
    <row r="29" spans="2:7" ht="13.5" thickBot="1" x14ac:dyDescent="0.25">
      <c r="B29" s="60" t="s">
        <v>70</v>
      </c>
      <c r="C29" s="61">
        <f>C27*(1-25%)</f>
        <v>7.2293995312500003</v>
      </c>
    </row>
    <row r="31" spans="2:7" ht="13.5" thickBot="1" x14ac:dyDescent="0.25">
      <c r="B31" s="82" t="s">
        <v>73</v>
      </c>
      <c r="C31" s="82"/>
    </row>
    <row r="32" spans="2:7" ht="13.5" thickBot="1" x14ac:dyDescent="0.25">
      <c r="B32" s="60" t="s">
        <v>69</v>
      </c>
      <c r="C32" s="61">
        <f>'Land Valuation (Guideline)'!H12/10^7</f>
        <v>7.8963742000000003</v>
      </c>
    </row>
    <row r="33" spans="2:3" ht="13.5" thickBot="1" x14ac:dyDescent="0.25">
      <c r="B33" s="60" t="s">
        <v>68</v>
      </c>
      <c r="C33" s="62">
        <v>0</v>
      </c>
    </row>
    <row r="34" spans="2:3" ht="13.5" thickBot="1" x14ac:dyDescent="0.25">
      <c r="B34" s="60" t="s">
        <v>70</v>
      </c>
      <c r="C34" s="62">
        <v>0</v>
      </c>
    </row>
    <row r="35" spans="2:3" ht="13.5" thickBot="1" x14ac:dyDescent="0.25">
      <c r="B35" s="63"/>
      <c r="C35" s="64"/>
    </row>
    <row r="36" spans="2:3" ht="13.5" thickBot="1" x14ac:dyDescent="0.25">
      <c r="B36" s="82" t="s">
        <v>71</v>
      </c>
      <c r="C36" s="82"/>
    </row>
    <row r="37" spans="2:3" ht="13.5" thickBot="1" x14ac:dyDescent="0.25">
      <c r="B37" s="60" t="s">
        <v>69</v>
      </c>
      <c r="C37" s="61">
        <f>'Land Valuation (Resi.)'!C19/10^7</f>
        <v>9.4227378470159984</v>
      </c>
    </row>
    <row r="38" spans="2:3" ht="13.5" thickBot="1" x14ac:dyDescent="0.25">
      <c r="B38" s="60" t="s">
        <v>68</v>
      </c>
      <c r="C38" s="61">
        <f>C37*(1-15%)</f>
        <v>8.0093271699635977</v>
      </c>
    </row>
    <row r="39" spans="2:3" ht="13.5" thickBot="1" x14ac:dyDescent="0.25">
      <c r="B39" s="60" t="s">
        <v>70</v>
      </c>
      <c r="C39" s="61">
        <f>C37*(1-25%)</f>
        <v>7.0670533852619988</v>
      </c>
    </row>
  </sheetData>
  <mergeCells count="3">
    <mergeCell ref="B2:C2"/>
    <mergeCell ref="B36:C36"/>
    <mergeCell ref="B31:C3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M160"/>
  <sheetViews>
    <sheetView topLeftCell="A65" workbookViewId="0">
      <selection activeCell="B77" sqref="B77:J77"/>
    </sheetView>
  </sheetViews>
  <sheetFormatPr defaultRowHeight="15" x14ac:dyDescent="0.25"/>
  <cols>
    <col min="1" max="1" width="2" style="2" customWidth="1"/>
    <col min="2" max="2" width="36.7109375" style="2" customWidth="1"/>
    <col min="3" max="4" width="9.7109375" style="2" bestFit="1" customWidth="1"/>
    <col min="5" max="7" width="10.7109375" style="2" bestFit="1" customWidth="1"/>
    <col min="8" max="8" width="20.5703125" style="2" bestFit="1" customWidth="1"/>
    <col min="9" max="9" width="9.140625" style="2"/>
    <col min="10" max="10" width="9.7109375" style="2" bestFit="1" customWidth="1"/>
    <col min="11" max="11" width="10.7109375" style="2" bestFit="1" customWidth="1"/>
    <col min="12" max="16384" width="9.140625" style="2"/>
  </cols>
  <sheetData>
    <row r="2" spans="2:8" ht="21" x14ac:dyDescent="0.35">
      <c r="B2" s="1" t="s">
        <v>22</v>
      </c>
    </row>
    <row r="3" spans="2:8" ht="15.75" thickBot="1" x14ac:dyDescent="0.3"/>
    <row r="4" spans="2:8" ht="16.5" thickTop="1" thickBot="1" x14ac:dyDescent="0.3">
      <c r="B4" s="83" t="s">
        <v>23</v>
      </c>
      <c r="C4" s="83"/>
      <c r="D4" s="83"/>
      <c r="E4" s="83"/>
      <c r="F4" s="83"/>
      <c r="G4" s="83"/>
      <c r="H4" s="83"/>
    </row>
    <row r="5" spans="2:8" ht="16.5" thickTop="1" thickBot="1" x14ac:dyDescent="0.3">
      <c r="B5" s="84"/>
      <c r="C5" s="85"/>
      <c r="D5" s="85"/>
      <c r="E5" s="85"/>
      <c r="F5" s="85"/>
      <c r="G5" s="85"/>
      <c r="H5" s="86"/>
    </row>
    <row r="6" spans="2:8" ht="16.5" thickTop="1" thickBot="1" x14ac:dyDescent="0.3">
      <c r="B6" s="3" t="s">
        <v>0</v>
      </c>
      <c r="C6" s="7" t="s">
        <v>1</v>
      </c>
      <c r="D6" s="7" t="s">
        <v>2</v>
      </c>
      <c r="E6" s="7" t="s">
        <v>3</v>
      </c>
      <c r="F6" s="7" t="s">
        <v>4</v>
      </c>
      <c r="G6" s="7" t="s">
        <v>5</v>
      </c>
      <c r="H6" s="7" t="s">
        <v>6</v>
      </c>
    </row>
    <row r="7" spans="2:8" ht="16.5" thickTop="1" thickBot="1" x14ac:dyDescent="0.3">
      <c r="B7" s="5" t="s">
        <v>7</v>
      </c>
      <c r="C7" s="65">
        <v>0.05</v>
      </c>
      <c r="D7" s="65">
        <v>0</v>
      </c>
      <c r="E7" s="65">
        <v>0</v>
      </c>
      <c r="F7" s="65">
        <v>0</v>
      </c>
      <c r="G7" s="65">
        <v>0</v>
      </c>
      <c r="H7" s="65">
        <f>SUM(C7:G7)</f>
        <v>0.05</v>
      </c>
    </row>
    <row r="8" spans="2:8" ht="16.5" thickTop="1" thickBot="1" x14ac:dyDescent="0.3">
      <c r="B8" s="5"/>
      <c r="C8" s="65"/>
      <c r="D8" s="65"/>
      <c r="E8" s="65"/>
      <c r="F8" s="65"/>
      <c r="G8" s="65"/>
      <c r="H8" s="65"/>
    </row>
    <row r="9" spans="2:8" ht="16.5" thickTop="1" thickBot="1" x14ac:dyDescent="0.3">
      <c r="B9" s="3" t="s">
        <v>8</v>
      </c>
      <c r="C9" s="7" t="s">
        <v>1</v>
      </c>
      <c r="D9" s="7" t="s">
        <v>2</v>
      </c>
      <c r="E9" s="7" t="s">
        <v>3</v>
      </c>
      <c r="F9" s="7" t="s">
        <v>4</v>
      </c>
      <c r="G9" s="7" t="s">
        <v>5</v>
      </c>
      <c r="H9" s="7" t="s">
        <v>6</v>
      </c>
    </row>
    <row r="10" spans="2:8" ht="16.5" thickTop="1" thickBot="1" x14ac:dyDescent="0.3">
      <c r="B10" s="5" t="s">
        <v>7</v>
      </c>
      <c r="C10" s="65">
        <v>0</v>
      </c>
      <c r="D10" s="65">
        <v>0.15</v>
      </c>
      <c r="E10" s="65">
        <v>0.2</v>
      </c>
      <c r="F10" s="65">
        <v>0.35</v>
      </c>
      <c r="G10" s="65">
        <v>0.25</v>
      </c>
      <c r="H10" s="65">
        <f>SUM(C10:G10)</f>
        <v>0.95</v>
      </c>
    </row>
    <row r="11" spans="2:8" ht="16.5" thickTop="1" thickBot="1" x14ac:dyDescent="0.3">
      <c r="B11" s="5"/>
      <c r="C11" s="65"/>
      <c r="D11" s="65"/>
      <c r="E11" s="65"/>
      <c r="F11" s="65"/>
      <c r="G11" s="65"/>
      <c r="H11" s="65"/>
    </row>
    <row r="12" spans="2:8" ht="16.5" thickTop="1" thickBot="1" x14ac:dyDescent="0.3">
      <c r="B12" s="3" t="s">
        <v>9</v>
      </c>
      <c r="C12" s="7" t="s">
        <v>1</v>
      </c>
      <c r="D12" s="7" t="s">
        <v>2</v>
      </c>
      <c r="E12" s="7" t="s">
        <v>3</v>
      </c>
      <c r="F12" s="7" t="s">
        <v>4</v>
      </c>
      <c r="G12" s="7" t="s">
        <v>5</v>
      </c>
      <c r="H12" s="7" t="s">
        <v>6</v>
      </c>
    </row>
    <row r="13" spans="2:8" ht="16.5" thickTop="1" thickBot="1" x14ac:dyDescent="0.3">
      <c r="B13" s="5" t="s">
        <v>7</v>
      </c>
      <c r="C13" s="65">
        <v>0</v>
      </c>
      <c r="D13" s="65">
        <v>0</v>
      </c>
      <c r="E13" s="65">
        <v>0</v>
      </c>
      <c r="F13" s="65">
        <v>0.5</v>
      </c>
      <c r="G13" s="65">
        <v>0.5</v>
      </c>
      <c r="H13" s="65">
        <f>SUM(C13:G13)</f>
        <v>1</v>
      </c>
    </row>
    <row r="14" spans="2:8" ht="16.5" thickTop="1" thickBot="1" x14ac:dyDescent="0.3">
      <c r="C14" s="6"/>
      <c r="D14" s="6"/>
      <c r="E14" s="6"/>
      <c r="F14" s="6"/>
      <c r="G14" s="6"/>
      <c r="H14" s="6"/>
    </row>
    <row r="15" spans="2:8" ht="16.5" thickTop="1" thickBot="1" x14ac:dyDescent="0.3">
      <c r="B15" s="83" t="s">
        <v>26</v>
      </c>
      <c r="C15" s="83"/>
      <c r="D15" s="83"/>
      <c r="E15" s="83"/>
      <c r="F15" s="83"/>
      <c r="G15" s="83"/>
    </row>
    <row r="16" spans="2:8" ht="16.5" thickTop="1" thickBot="1" x14ac:dyDescent="0.3">
      <c r="B16" s="84"/>
      <c r="C16" s="85"/>
      <c r="D16" s="85"/>
      <c r="E16" s="85"/>
      <c r="F16" s="85"/>
      <c r="G16" s="86"/>
    </row>
    <row r="17" spans="2:7" ht="16.5" thickTop="1" thickBot="1" x14ac:dyDescent="0.3">
      <c r="B17" s="3" t="s">
        <v>10</v>
      </c>
      <c r="C17" s="7" t="s">
        <v>1</v>
      </c>
      <c r="D17" s="7" t="s">
        <v>2</v>
      </c>
      <c r="E17" s="7" t="s">
        <v>3</v>
      </c>
      <c r="F17" s="7" t="s">
        <v>4</v>
      </c>
      <c r="G17" s="7" t="s">
        <v>5</v>
      </c>
    </row>
    <row r="18" spans="2:7" ht="16.5" thickTop="1" thickBot="1" x14ac:dyDescent="0.3">
      <c r="B18" s="87"/>
      <c r="C18" s="88"/>
      <c r="D18" s="88"/>
      <c r="E18" s="88"/>
      <c r="F18" s="88"/>
      <c r="G18" s="89"/>
    </row>
    <row r="19" spans="2:7" ht="16.5" thickTop="1" thickBot="1" x14ac:dyDescent="0.3">
      <c r="B19" s="90" t="s">
        <v>11</v>
      </c>
      <c r="C19" s="91"/>
      <c r="D19" s="91"/>
      <c r="E19" s="91"/>
      <c r="F19" s="91"/>
      <c r="G19" s="92"/>
    </row>
    <row r="20" spans="2:7" ht="16.5" thickTop="1" thickBot="1" x14ac:dyDescent="0.3">
      <c r="B20" s="4" t="s">
        <v>95</v>
      </c>
      <c r="C20" s="8">
        <v>6000</v>
      </c>
      <c r="D20" s="8">
        <f>C20*(1+6%)</f>
        <v>6360</v>
      </c>
      <c r="E20" s="8">
        <f t="shared" ref="E20:G20" si="0">D20*(1+6%)</f>
        <v>6741.6</v>
      </c>
      <c r="F20" s="8">
        <f t="shared" si="0"/>
        <v>7146.0960000000005</v>
      </c>
      <c r="G20" s="8">
        <f t="shared" si="0"/>
        <v>7574.8617600000007</v>
      </c>
    </row>
    <row r="21" spans="2:7" ht="15.75" thickTop="1" x14ac:dyDescent="0.25"/>
    <row r="34" spans="2:8" x14ac:dyDescent="0.25">
      <c r="B34" s="9"/>
    </row>
    <row r="35" spans="2:8" x14ac:dyDescent="0.25">
      <c r="B35" s="74" t="s">
        <v>86</v>
      </c>
      <c r="C35" s="74"/>
      <c r="D35" s="74"/>
      <c r="E35" s="74"/>
      <c r="F35" s="74"/>
      <c r="G35" s="74"/>
      <c r="H35" s="74"/>
    </row>
    <row r="49" spans="2:13" x14ac:dyDescent="0.25">
      <c r="B49" s="9"/>
    </row>
    <row r="56" spans="2:13" x14ac:dyDescent="0.25">
      <c r="B56" s="74" t="s">
        <v>90</v>
      </c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</row>
    <row r="63" spans="2:13" x14ac:dyDescent="0.25">
      <c r="B63" s="9"/>
    </row>
    <row r="77" spans="2:10" x14ac:dyDescent="0.25">
      <c r="B77" s="80" t="s">
        <v>91</v>
      </c>
      <c r="C77" s="74"/>
      <c r="D77" s="74"/>
      <c r="E77" s="74"/>
      <c r="F77" s="74"/>
      <c r="G77" s="74"/>
      <c r="H77" s="74"/>
      <c r="I77" s="74"/>
      <c r="J77" s="74"/>
    </row>
    <row r="94" spans="2:2" x14ac:dyDescent="0.25">
      <c r="B94" s="9"/>
    </row>
    <row r="109" spans="2:2" x14ac:dyDescent="0.25">
      <c r="B109" s="9"/>
    </row>
    <row r="126" spans="2:2" x14ac:dyDescent="0.25">
      <c r="B126" s="9"/>
    </row>
    <row r="143" spans="2:2" x14ac:dyDescent="0.25">
      <c r="B143" s="9"/>
    </row>
    <row r="160" spans="2:2" x14ac:dyDescent="0.25">
      <c r="B160" s="9"/>
    </row>
  </sheetData>
  <mergeCells count="6">
    <mergeCell ref="B15:G15"/>
    <mergeCell ref="B16:G16"/>
    <mergeCell ref="B18:G18"/>
    <mergeCell ref="B19:G19"/>
    <mergeCell ref="B4:H4"/>
    <mergeCell ref="B5:H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H26"/>
  <sheetViews>
    <sheetView workbookViewId="0">
      <selection activeCell="F25" sqref="F25"/>
    </sheetView>
  </sheetViews>
  <sheetFormatPr defaultRowHeight="15" x14ac:dyDescent="0.25"/>
  <cols>
    <col min="1" max="1" width="2" style="2" customWidth="1"/>
    <col min="2" max="2" width="24.7109375" style="2" customWidth="1"/>
    <col min="3" max="3" width="13.85546875" style="2" customWidth="1"/>
    <col min="4" max="5" width="8.85546875" style="2" customWidth="1"/>
    <col min="6" max="6" width="11.140625" style="2" customWidth="1"/>
    <col min="7" max="7" width="8.85546875" style="2" customWidth="1"/>
    <col min="8" max="8" width="15.5703125" style="2" customWidth="1"/>
    <col min="9" max="16384" width="9.140625" style="2"/>
  </cols>
  <sheetData>
    <row r="2" spans="2:8" ht="23.25" x14ac:dyDescent="0.35">
      <c r="B2" s="93" t="s">
        <v>25</v>
      </c>
      <c r="C2" s="93"/>
      <c r="D2" s="93"/>
      <c r="E2" s="93"/>
      <c r="F2" s="93"/>
      <c r="G2" s="93"/>
      <c r="H2" s="93"/>
    </row>
    <row r="4" spans="2:8" x14ac:dyDescent="0.25">
      <c r="B4" s="94" t="s">
        <v>12</v>
      </c>
      <c r="C4" s="94"/>
      <c r="D4" s="94"/>
      <c r="E4" s="94"/>
      <c r="F4" s="94"/>
      <c r="G4" s="94"/>
      <c r="H4" s="94"/>
    </row>
    <row r="5" spans="2:8" ht="15.75" thickBot="1" x14ac:dyDescent="0.3">
      <c r="B5" s="95" t="s">
        <v>24</v>
      </c>
      <c r="C5" s="96"/>
      <c r="D5" s="96"/>
      <c r="E5" s="96"/>
      <c r="F5" s="96"/>
      <c r="G5" s="96"/>
      <c r="H5" s="96"/>
    </row>
    <row r="6" spans="2:8" ht="16.5" thickTop="1" thickBot="1" x14ac:dyDescent="0.3">
      <c r="B6" s="10" t="s">
        <v>13</v>
      </c>
      <c r="C6" s="11" t="s">
        <v>1</v>
      </c>
      <c r="D6" s="11" t="s">
        <v>2</v>
      </c>
      <c r="E6" s="11" t="s">
        <v>3</v>
      </c>
      <c r="F6" s="11" t="s">
        <v>4</v>
      </c>
      <c r="G6" s="11" t="s">
        <v>5</v>
      </c>
      <c r="H6" s="11" t="s">
        <v>14</v>
      </c>
    </row>
    <row r="7" spans="2:8" ht="16.5" thickTop="1" thickBot="1" x14ac:dyDescent="0.3"/>
    <row r="8" spans="2:8" ht="16.5" thickTop="1" thickBot="1" x14ac:dyDescent="0.3">
      <c r="B8" s="12" t="s">
        <v>0</v>
      </c>
      <c r="C8" s="13"/>
      <c r="D8" s="13"/>
      <c r="E8" s="13"/>
      <c r="F8" s="13"/>
      <c r="G8" s="13"/>
      <c r="H8" s="14"/>
    </row>
    <row r="9" spans="2:8" ht="16.5" thickTop="1" thickBot="1" x14ac:dyDescent="0.3">
      <c r="B9" s="15" t="s">
        <v>15</v>
      </c>
      <c r="C9" s="16">
        <f>'Project Summary'!$C$11*Assumptions!C7*Assumptions!C20/10^7</f>
        <v>1.9015200000000001</v>
      </c>
      <c r="D9" s="16">
        <f>'Project Summary'!$C$11*Assumptions!D7*Assumptions!D20/10^7</f>
        <v>0</v>
      </c>
      <c r="E9" s="16">
        <f>'Project Summary'!$C$11*Assumptions!E7*Assumptions!E20/10^7</f>
        <v>0</v>
      </c>
      <c r="F9" s="16">
        <f>'Project Summary'!$C$11*Assumptions!F7*Assumptions!F20/10^7</f>
        <v>0</v>
      </c>
      <c r="G9" s="16">
        <f>'Project Summary'!$C$11*Assumptions!G7*Assumptions!G20/10^7</f>
        <v>0</v>
      </c>
      <c r="H9" s="16">
        <f>SUM(C9:G9)</f>
        <v>1.9015200000000001</v>
      </c>
    </row>
    <row r="10" spans="2:8" ht="16.5" thickTop="1" thickBot="1" x14ac:dyDescent="0.3">
      <c r="B10" s="17" t="s">
        <v>16</v>
      </c>
      <c r="C10" s="18">
        <f t="shared" ref="C10:H10" si="0">C9</f>
        <v>1.9015200000000001</v>
      </c>
      <c r="D10" s="18">
        <f t="shared" si="0"/>
        <v>0</v>
      </c>
      <c r="E10" s="18">
        <f t="shared" si="0"/>
        <v>0</v>
      </c>
      <c r="F10" s="18">
        <f t="shared" si="0"/>
        <v>0</v>
      </c>
      <c r="G10" s="18">
        <f t="shared" si="0"/>
        <v>0</v>
      </c>
      <c r="H10" s="18">
        <f t="shared" si="0"/>
        <v>1.9015200000000001</v>
      </c>
    </row>
    <row r="11" spans="2:8" ht="16.5" thickTop="1" thickBot="1" x14ac:dyDescent="0.3">
      <c r="B11" s="19"/>
      <c r="C11" s="19"/>
      <c r="D11" s="19"/>
      <c r="E11" s="19"/>
      <c r="F11" s="19"/>
      <c r="G11" s="19"/>
    </row>
    <row r="12" spans="2:8" ht="16.5" thickTop="1" thickBot="1" x14ac:dyDescent="0.3">
      <c r="B12" s="20" t="s">
        <v>8</v>
      </c>
      <c r="C12" s="21"/>
      <c r="D12" s="21"/>
      <c r="E12" s="21"/>
      <c r="F12" s="21"/>
      <c r="G12" s="13"/>
      <c r="H12" s="22"/>
    </row>
    <row r="13" spans="2:8" ht="16.5" thickTop="1" thickBot="1" x14ac:dyDescent="0.3">
      <c r="B13" s="15" t="s">
        <v>15</v>
      </c>
      <c r="C13" s="16">
        <f>'Project Summary'!$C$11*Assumptions!C10*Assumptions!C20/10^7</f>
        <v>0</v>
      </c>
      <c r="D13" s="16">
        <f>'Project Summary'!$C$11*Assumptions!D10*Assumptions!D20/10^7</f>
        <v>6.0468336000000003</v>
      </c>
      <c r="E13" s="16">
        <f>'Project Summary'!$C$11*Assumptions!E10*Assumptions!E20/10^7</f>
        <v>8.5461914880000016</v>
      </c>
      <c r="F13" s="16">
        <f>'Project Summary'!$C$11*Assumptions!F10*Assumptions!F20/10^7</f>
        <v>15.853185210240001</v>
      </c>
      <c r="G13" s="16">
        <f>'Project Summary'!$C$11*Assumptions!G10*Assumptions!G20/10^7</f>
        <v>12.003125944896</v>
      </c>
      <c r="H13" s="16">
        <f>SUM(C13:G13)</f>
        <v>42.449336243136003</v>
      </c>
    </row>
    <row r="14" spans="2:8" ht="31.5" thickTop="1" thickBot="1" x14ac:dyDescent="0.3">
      <c r="B14" s="23" t="s">
        <v>17</v>
      </c>
      <c r="C14" s="18">
        <f t="shared" ref="C14:H14" si="1">C13</f>
        <v>0</v>
      </c>
      <c r="D14" s="18">
        <f t="shared" si="1"/>
        <v>6.0468336000000003</v>
      </c>
      <c r="E14" s="18">
        <f t="shared" si="1"/>
        <v>8.5461914880000016</v>
      </c>
      <c r="F14" s="18">
        <f t="shared" si="1"/>
        <v>15.853185210240001</v>
      </c>
      <c r="G14" s="18">
        <f t="shared" si="1"/>
        <v>12.003125944896</v>
      </c>
      <c r="H14" s="18">
        <f t="shared" si="1"/>
        <v>42.449336243136003</v>
      </c>
    </row>
    <row r="15" spans="2:8" ht="16.5" thickTop="1" thickBot="1" x14ac:dyDescent="0.3">
      <c r="B15" s="19"/>
      <c r="C15" s="19"/>
      <c r="D15" s="19"/>
      <c r="E15" s="19"/>
      <c r="F15" s="19"/>
      <c r="G15" s="19"/>
      <c r="H15" s="19"/>
    </row>
    <row r="16" spans="2:8" ht="16.5" thickTop="1" thickBot="1" x14ac:dyDescent="0.3">
      <c r="B16" s="20" t="s">
        <v>18</v>
      </c>
      <c r="C16" s="21"/>
      <c r="D16" s="21"/>
      <c r="E16" s="21"/>
      <c r="F16" s="21"/>
      <c r="G16" s="13"/>
      <c r="H16" s="22"/>
    </row>
    <row r="17" spans="2:8" ht="16.5" thickTop="1" thickBot="1" x14ac:dyDescent="0.3">
      <c r="B17" s="15" t="s">
        <v>19</v>
      </c>
      <c r="C17" s="16">
        <f>'Project Summary'!$C$14*Assumptions!C13*'Project Summary'!$C$18/10^7</f>
        <v>0</v>
      </c>
      <c r="D17" s="16">
        <f>'Project Summary'!$C$14*Assumptions!D13*'Project Summary'!$C$18/10^7</f>
        <v>0</v>
      </c>
      <c r="E17" s="16">
        <f>'Project Summary'!$C$14*Assumptions!E13*'Project Summary'!$C$18/10^7</f>
        <v>0</v>
      </c>
      <c r="F17" s="16">
        <f>'Project Summary'!$C$14*Assumptions!F13*'Project Summary'!$C$18/10^7+'Project Summary'!C15*Assumptions!F13*'Project Summary'!C19/10^7</f>
        <v>1.95</v>
      </c>
      <c r="G17" s="16">
        <f>'Project Summary'!$C$14*Assumptions!G13*'Project Summary'!$C$18/10^7+'Project Summary'!C15*Assumptions!G13*'Project Summary'!C19/10^7</f>
        <v>1.95</v>
      </c>
      <c r="H17" s="16">
        <f>SUM(C17:G17)</f>
        <v>3.9</v>
      </c>
    </row>
    <row r="18" spans="2:8" ht="31.5" thickTop="1" thickBot="1" x14ac:dyDescent="0.3">
      <c r="B18" s="23" t="s">
        <v>20</v>
      </c>
      <c r="C18" s="18">
        <f t="shared" ref="C18:H18" si="2">C17</f>
        <v>0</v>
      </c>
      <c r="D18" s="18">
        <f t="shared" si="2"/>
        <v>0</v>
      </c>
      <c r="E18" s="18">
        <f t="shared" si="2"/>
        <v>0</v>
      </c>
      <c r="F18" s="18">
        <f t="shared" si="2"/>
        <v>1.95</v>
      </c>
      <c r="G18" s="18">
        <f t="shared" si="2"/>
        <v>1.95</v>
      </c>
      <c r="H18" s="18">
        <f t="shared" si="2"/>
        <v>3.9</v>
      </c>
    </row>
    <row r="19" spans="2:8" ht="16.5" thickTop="1" thickBot="1" x14ac:dyDescent="0.3"/>
    <row r="20" spans="2:8" ht="16.5" thickTop="1" thickBot="1" x14ac:dyDescent="0.3">
      <c r="B20" s="24" t="s">
        <v>21</v>
      </c>
      <c r="C20" s="25">
        <f>C10+C14+C18</f>
        <v>1.9015200000000001</v>
      </c>
      <c r="D20" s="25">
        <f t="shared" ref="D20:G20" si="3">D10+D14+D18</f>
        <v>6.0468336000000003</v>
      </c>
      <c r="E20" s="25">
        <f t="shared" si="3"/>
        <v>8.5461914880000016</v>
      </c>
      <c r="F20" s="25">
        <f t="shared" si="3"/>
        <v>17.803185210240002</v>
      </c>
      <c r="G20" s="25">
        <f t="shared" si="3"/>
        <v>13.953125944896</v>
      </c>
      <c r="H20" s="25">
        <f>H10+H14+H18</f>
        <v>48.250856243135999</v>
      </c>
    </row>
    <row r="21" spans="2:8" ht="15.75" thickTop="1" x14ac:dyDescent="0.25"/>
    <row r="22" spans="2:8" ht="15.75" thickBot="1" x14ac:dyDescent="0.3"/>
    <row r="23" spans="2:8" ht="34.5" customHeight="1" thickTop="1" thickBot="1" x14ac:dyDescent="0.3">
      <c r="B23" s="113" t="s">
        <v>106</v>
      </c>
      <c r="C23" s="79">
        <f>482500000+1200000</f>
        <v>483700000</v>
      </c>
    </row>
    <row r="24" spans="2:8" ht="16.5" thickTop="1" thickBot="1" x14ac:dyDescent="0.3">
      <c r="B24" s="24" t="s">
        <v>96</v>
      </c>
      <c r="C24" s="79">
        <f>C23*0.85</f>
        <v>411145000</v>
      </c>
    </row>
    <row r="25" spans="2:8" ht="16.5" thickTop="1" thickBot="1" x14ac:dyDescent="0.3">
      <c r="B25" s="24" t="s">
        <v>97</v>
      </c>
      <c r="C25" s="79">
        <f>C23*0.75</f>
        <v>362775000</v>
      </c>
    </row>
    <row r="26" spans="2:8" ht="15.75" thickTop="1" x14ac:dyDescent="0.25"/>
  </sheetData>
  <mergeCells count="3">
    <mergeCell ref="B2:H2"/>
    <mergeCell ref="B4:H4"/>
    <mergeCell ref="B5:H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XEP19"/>
  <sheetViews>
    <sheetView workbookViewId="0">
      <selection activeCell="D16" sqref="D16"/>
    </sheetView>
  </sheetViews>
  <sheetFormatPr defaultColWidth="8.85546875" defaultRowHeight="15" x14ac:dyDescent="0.25"/>
  <cols>
    <col min="1" max="1" width="2" style="2" customWidth="1"/>
    <col min="2" max="2" width="61.140625" style="2" bestFit="1" customWidth="1"/>
    <col min="3" max="3" width="16.85546875" style="2" bestFit="1" customWidth="1"/>
    <col min="4" max="4" width="12.28515625" style="2" customWidth="1"/>
    <col min="5" max="5" width="10" style="2" bestFit="1" customWidth="1"/>
    <col min="6" max="6" width="14.28515625" style="2" bestFit="1" customWidth="1"/>
    <col min="7" max="7" width="12.28515625" style="2" bestFit="1" customWidth="1"/>
    <col min="8" max="8" width="15.5703125" style="2" bestFit="1" customWidth="1"/>
    <col min="9" max="9" width="20.5703125" style="2" bestFit="1" customWidth="1"/>
    <col min="10" max="10" width="26.7109375" style="2" bestFit="1" customWidth="1"/>
    <col min="11" max="11" width="7" style="2" bestFit="1" customWidth="1"/>
    <col min="12" max="13" width="9.7109375" style="2" bestFit="1" customWidth="1"/>
    <col min="14" max="16" width="10.7109375" style="2" bestFit="1" customWidth="1"/>
    <col min="17" max="16384" width="8.85546875" style="2"/>
  </cols>
  <sheetData>
    <row r="2" spans="2:8 16370:16370" ht="21" x14ac:dyDescent="0.35">
      <c r="B2" s="97" t="s">
        <v>56</v>
      </c>
      <c r="C2" s="97"/>
      <c r="D2" s="97"/>
      <c r="E2" s="97"/>
      <c r="F2" s="97"/>
      <c r="G2" s="97"/>
    </row>
    <row r="3" spans="2:8 16370:16370" ht="15.75" thickBot="1" x14ac:dyDescent="0.3"/>
    <row r="4" spans="2:8 16370:16370" ht="46.5" thickTop="1" thickBot="1" x14ac:dyDescent="0.3">
      <c r="B4" s="10" t="s">
        <v>13</v>
      </c>
      <c r="C4" s="41" t="s">
        <v>57</v>
      </c>
      <c r="D4" s="41" t="s">
        <v>58</v>
      </c>
      <c r="E4" s="41" t="s">
        <v>59</v>
      </c>
      <c r="F4" s="41" t="s">
        <v>60</v>
      </c>
      <c r="G4" s="41" t="s">
        <v>61</v>
      </c>
      <c r="H4" s="41" t="s">
        <v>62</v>
      </c>
    </row>
    <row r="5" spans="2:8 16370:16370" ht="16.5" thickTop="1" thickBot="1" x14ac:dyDescent="0.3">
      <c r="B5" s="42"/>
      <c r="C5" s="42"/>
      <c r="D5" s="42"/>
      <c r="E5" s="42"/>
      <c r="F5" s="42"/>
      <c r="G5" s="42"/>
      <c r="H5" s="43"/>
    </row>
    <row r="6" spans="2:8 16370:16370" ht="16.5" thickTop="1" thickBot="1" x14ac:dyDescent="0.3">
      <c r="B6" s="17" t="s">
        <v>63</v>
      </c>
      <c r="C6" s="44">
        <v>2579.0500000000002</v>
      </c>
      <c r="D6" s="44">
        <v>0</v>
      </c>
      <c r="E6" s="44">
        <v>0</v>
      </c>
      <c r="F6" s="44">
        <f>'Project Summary'!C13</f>
        <v>68708.213145000002</v>
      </c>
      <c r="G6" s="44">
        <f>'Project Summary'!C11</f>
        <v>63384</v>
      </c>
      <c r="H6" s="45">
        <f>'Project Summary'!C12</f>
        <v>81019.100588400004</v>
      </c>
    </row>
    <row r="7" spans="2:8 16370:16370" ht="16.5" thickTop="1" thickBot="1" x14ac:dyDescent="0.3">
      <c r="B7" s="17"/>
      <c r="C7" s="44"/>
      <c r="D7" s="44"/>
      <c r="E7" s="44"/>
      <c r="F7" s="44"/>
      <c r="G7" s="44"/>
      <c r="H7" s="45"/>
    </row>
    <row r="8" spans="2:8 16370:16370" ht="16.5" thickTop="1" thickBot="1" x14ac:dyDescent="0.3">
      <c r="B8" s="24" t="s">
        <v>14</v>
      </c>
      <c r="C8" s="25">
        <f>C6+C7</f>
        <v>2579.0500000000002</v>
      </c>
      <c r="D8" s="25">
        <f>D6+D7</f>
        <v>0</v>
      </c>
      <c r="E8" s="25">
        <f>E6+E7</f>
        <v>0</v>
      </c>
      <c r="F8" s="25">
        <f>F6+F7</f>
        <v>68708.213145000002</v>
      </c>
      <c r="G8" s="25">
        <f>G6+G7</f>
        <v>63384</v>
      </c>
      <c r="H8" s="25">
        <f>H6+H7</f>
        <v>81019.100588400004</v>
      </c>
      <c r="XEP8" s="2" t="e">
        <f>XEP6+#REF!</f>
        <v>#REF!</v>
      </c>
    </row>
    <row r="9" spans="2:8 16370:16370" ht="15.75" thickTop="1" x14ac:dyDescent="0.25"/>
    <row r="10" spans="2:8 16370:16370" ht="15.75" thickBot="1" x14ac:dyDescent="0.3"/>
    <row r="11" spans="2:8 16370:16370" ht="15.75" thickBot="1" x14ac:dyDescent="0.3">
      <c r="B11" s="46" t="s">
        <v>83</v>
      </c>
      <c r="C11" s="47">
        <f>G6*6500</f>
        <v>411996000</v>
      </c>
    </row>
    <row r="12" spans="2:8 16370:16370" ht="15.75" thickBot="1" x14ac:dyDescent="0.3">
      <c r="B12" s="48"/>
    </row>
    <row r="13" spans="2:8 16370:16370" ht="15.75" thickBot="1" x14ac:dyDescent="0.3">
      <c r="B13" s="46" t="s">
        <v>64</v>
      </c>
      <c r="C13" s="47">
        <f>(H6*2000)</f>
        <v>162038201.17680001</v>
      </c>
    </row>
    <row r="14" spans="2:8 16370:16370" ht="15.75" thickBot="1" x14ac:dyDescent="0.3">
      <c r="B14" s="48"/>
      <c r="H14" s="69">
        <f>2.473*C6*10.764</f>
        <v>68652.691356599986</v>
      </c>
    </row>
    <row r="15" spans="2:8 16370:16370" ht="15.75" thickBot="1" x14ac:dyDescent="0.3">
      <c r="B15" s="46" t="s">
        <v>65</v>
      </c>
      <c r="C15" s="47">
        <f>C13*30%</f>
        <v>48611460.353040002</v>
      </c>
    </row>
    <row r="16" spans="2:8 16370:16370" ht="15.75" thickBot="1" x14ac:dyDescent="0.3">
      <c r="B16" s="48"/>
    </row>
    <row r="17" spans="2:8" ht="15.75" thickBot="1" x14ac:dyDescent="0.3">
      <c r="B17" s="46" t="s">
        <v>66</v>
      </c>
      <c r="C17" s="47">
        <f>C11*26%</f>
        <v>107118960</v>
      </c>
    </row>
    <row r="18" spans="2:8" x14ac:dyDescent="0.25">
      <c r="H18" s="70">
        <f>40*2500000</f>
        <v>100000000</v>
      </c>
    </row>
    <row r="19" spans="2:8" x14ac:dyDescent="0.25">
      <c r="B19" s="49" t="s">
        <v>67</v>
      </c>
      <c r="C19" s="50">
        <f>C11-C13-C15-C17</f>
        <v>94227378.470159978</v>
      </c>
    </row>
  </sheetData>
  <mergeCells count="1">
    <mergeCell ref="B2:G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2:XFD48"/>
  <sheetViews>
    <sheetView topLeftCell="A33" workbookViewId="0">
      <selection activeCell="F11" sqref="F11"/>
    </sheetView>
  </sheetViews>
  <sheetFormatPr defaultRowHeight="15" x14ac:dyDescent="0.25"/>
  <cols>
    <col min="1" max="1" width="2" style="2" customWidth="1"/>
    <col min="2" max="2" width="11.7109375" style="2" customWidth="1"/>
    <col min="3" max="3" width="20.5703125" style="2" customWidth="1"/>
    <col min="4" max="4" width="33.7109375" style="2" customWidth="1"/>
    <col min="5" max="5" width="13.140625" style="2" customWidth="1"/>
    <col min="6" max="6" width="13.28515625" style="2" customWidth="1"/>
    <col min="7" max="7" width="20.5703125" style="2" customWidth="1"/>
    <col min="8" max="8" width="21" style="2" customWidth="1"/>
    <col min="9" max="10" width="16" style="2" bestFit="1" customWidth="1"/>
    <col min="11" max="11" width="9.140625" style="2"/>
    <col min="12" max="12" width="10" style="2" bestFit="1" customWidth="1"/>
    <col min="13" max="16384" width="9.140625" style="2"/>
  </cols>
  <sheetData>
    <row r="2" spans="2:12 16384:16384" ht="46.5" customHeight="1" x14ac:dyDescent="0.35">
      <c r="B2" s="101" t="s">
        <v>94</v>
      </c>
      <c r="C2" s="101"/>
      <c r="D2" s="101"/>
      <c r="E2" s="26"/>
      <c r="F2" s="26"/>
      <c r="G2" s="26"/>
      <c r="H2" s="26"/>
    </row>
    <row r="4" spans="2:12 16384:16384" ht="45" x14ac:dyDescent="0.25">
      <c r="B4" s="72" t="s">
        <v>38</v>
      </c>
      <c r="C4" s="71" t="s">
        <v>93</v>
      </c>
    </row>
    <row r="5" spans="2:12 16384:16384" x14ac:dyDescent="0.25">
      <c r="B5" s="27" t="s">
        <v>39</v>
      </c>
      <c r="C5" s="28" t="s">
        <v>40</v>
      </c>
    </row>
    <row r="6" spans="2:12 16384:16384" x14ac:dyDescent="0.25">
      <c r="B6" s="27" t="s">
        <v>41</v>
      </c>
      <c r="C6" s="28" t="s">
        <v>84</v>
      </c>
    </row>
    <row r="8" spans="2:12 16384:16384" ht="15.75" customHeight="1" thickBot="1" x14ac:dyDescent="0.3">
      <c r="B8" s="102" t="s">
        <v>92</v>
      </c>
      <c r="C8" s="103"/>
      <c r="D8" s="103"/>
      <c r="E8" s="103"/>
      <c r="F8" s="103"/>
      <c r="G8" s="103"/>
      <c r="H8" s="103"/>
      <c r="I8" s="103"/>
      <c r="J8" s="103"/>
    </row>
    <row r="9" spans="2:12 16384:16384" ht="20.25" thickTop="1" thickBot="1" x14ac:dyDescent="0.3">
      <c r="B9" s="104" t="s">
        <v>42</v>
      </c>
      <c r="C9" s="105"/>
      <c r="D9" s="105"/>
      <c r="E9" s="105"/>
      <c r="F9" s="105"/>
      <c r="G9" s="105"/>
      <c r="H9" s="105"/>
      <c r="I9" s="105"/>
      <c r="J9" s="105"/>
    </row>
    <row r="10" spans="2:12 16384:16384" ht="61.5" thickTop="1" thickBot="1" x14ac:dyDescent="0.3">
      <c r="B10" s="29" t="s">
        <v>43</v>
      </c>
      <c r="C10" s="29" t="s">
        <v>44</v>
      </c>
      <c r="D10" s="29" t="s">
        <v>45</v>
      </c>
      <c r="E10" s="29" t="s">
        <v>46</v>
      </c>
      <c r="F10" s="29" t="s">
        <v>47</v>
      </c>
      <c r="G10" s="29" t="s">
        <v>48</v>
      </c>
      <c r="H10" s="29" t="s">
        <v>49</v>
      </c>
      <c r="I10" s="29" t="s">
        <v>50</v>
      </c>
      <c r="J10" s="29" t="s">
        <v>51</v>
      </c>
      <c r="L10" s="2">
        <v>201450000</v>
      </c>
    </row>
    <row r="11" spans="2:12 16384:16384" ht="61.5" thickTop="1" thickBot="1" x14ac:dyDescent="0.3">
      <c r="B11" s="30">
        <v>1</v>
      </c>
      <c r="C11" s="31" t="s">
        <v>52</v>
      </c>
      <c r="D11" s="32" t="str">
        <f>'Project Summary'!$C$8</f>
        <v>Premises No. 17, Pagladanga Road, P.S. : Pragati Maidan, (Formerly Tiljala), Ward No. 57, Borough-VII under the KMC, Kolkata-700105</v>
      </c>
      <c r="E11" s="33">
        <f>'Land Valuation (Resi.)'!C6</f>
        <v>2579.0500000000002</v>
      </c>
      <c r="F11" s="78">
        <f>E11*10.764/720</f>
        <v>38.556797500000002</v>
      </c>
      <c r="G11" s="34">
        <v>2500000</v>
      </c>
      <c r="H11" s="76">
        <f>G11*F11</f>
        <v>96391993.75</v>
      </c>
      <c r="I11" s="76">
        <f>H11*(1-15%)</f>
        <v>81933194.6875</v>
      </c>
      <c r="J11" s="76">
        <f>H11*(1-25%)</f>
        <v>72293995.3125</v>
      </c>
      <c r="L11" s="2">
        <v>177750000</v>
      </c>
    </row>
    <row r="12" spans="2:12 16384:16384" ht="16.5" thickTop="1" thickBot="1" x14ac:dyDescent="0.3">
      <c r="B12" s="106" t="s">
        <v>14</v>
      </c>
      <c r="C12" s="106"/>
      <c r="D12" s="106"/>
      <c r="E12" s="35">
        <f t="shared" ref="E12:J12" si="0">E11</f>
        <v>2579.0500000000002</v>
      </c>
      <c r="F12" s="35">
        <f t="shared" si="0"/>
        <v>38.556797500000002</v>
      </c>
      <c r="G12" s="36">
        <f t="shared" si="0"/>
        <v>2500000</v>
      </c>
      <c r="H12" s="77">
        <f t="shared" si="0"/>
        <v>96391993.75</v>
      </c>
      <c r="I12" s="77">
        <f t="shared" si="0"/>
        <v>81933194.6875</v>
      </c>
      <c r="J12" s="77">
        <f t="shared" si="0"/>
        <v>72293995.3125</v>
      </c>
      <c r="XFD12" s="36">
        <f>XFD11</f>
        <v>0</v>
      </c>
    </row>
    <row r="13" spans="2:12 16384:16384" ht="16.5" thickTop="1" thickBot="1" x14ac:dyDescent="0.3">
      <c r="B13" s="37"/>
      <c r="C13" s="37"/>
      <c r="D13" s="37"/>
      <c r="E13" s="38"/>
      <c r="F13" s="39"/>
      <c r="G13" s="40"/>
      <c r="H13" s="40"/>
    </row>
    <row r="14" spans="2:12 16384:16384" ht="16.5" thickTop="1" thickBot="1" x14ac:dyDescent="0.3">
      <c r="B14" s="98" t="s">
        <v>53</v>
      </c>
      <c r="C14" s="99"/>
      <c r="D14" s="99"/>
      <c r="E14" s="99"/>
      <c r="F14" s="99"/>
      <c r="G14" s="99"/>
      <c r="H14" s="99"/>
      <c r="I14" s="99"/>
      <c r="J14" s="100"/>
    </row>
    <row r="15" spans="2:12 16384:16384" ht="16.5" thickTop="1" thickBot="1" x14ac:dyDescent="0.3">
      <c r="B15" s="98" t="s">
        <v>54</v>
      </c>
      <c r="C15" s="99"/>
      <c r="D15" s="99"/>
      <c r="E15" s="99"/>
      <c r="F15" s="99"/>
      <c r="G15" s="99"/>
      <c r="H15" s="99"/>
      <c r="I15" s="99"/>
      <c r="J15" s="100"/>
    </row>
    <row r="16" spans="2:12 16384:16384" ht="16.5" thickTop="1" thickBot="1" x14ac:dyDescent="0.3">
      <c r="B16" s="98" t="s">
        <v>55</v>
      </c>
      <c r="C16" s="99"/>
      <c r="D16" s="99"/>
      <c r="E16" s="99"/>
      <c r="F16" s="99"/>
      <c r="G16" s="99"/>
      <c r="H16" s="99"/>
      <c r="I16" s="99"/>
      <c r="J16" s="100"/>
    </row>
    <row r="18" spans="2:9" ht="15.75" thickBot="1" x14ac:dyDescent="0.3"/>
    <row r="19" spans="2:9" ht="31.5" thickTop="1" thickBot="1" x14ac:dyDescent="0.3">
      <c r="H19" s="29" t="s">
        <v>98</v>
      </c>
      <c r="I19" s="76">
        <v>96400000</v>
      </c>
    </row>
    <row r="20" spans="2:9" ht="16.5" thickTop="1" thickBot="1" x14ac:dyDescent="0.3">
      <c r="H20" s="29" t="s">
        <v>96</v>
      </c>
      <c r="I20" s="76">
        <f>I19*0.85</f>
        <v>81940000</v>
      </c>
    </row>
    <row r="21" spans="2:9" ht="16.5" thickTop="1" thickBot="1" x14ac:dyDescent="0.3">
      <c r="H21" s="29" t="s">
        <v>97</v>
      </c>
      <c r="I21" s="76">
        <f>I19*0.75</f>
        <v>72300000</v>
      </c>
    </row>
    <row r="22" spans="2:9" ht="15.75" thickTop="1" x14ac:dyDescent="0.25"/>
    <row r="32" spans="2:9" x14ac:dyDescent="0.25">
      <c r="B32" s="75" t="s">
        <v>88</v>
      </c>
      <c r="C32" s="75"/>
      <c r="D32" s="75"/>
      <c r="E32" s="75"/>
      <c r="F32" s="75"/>
    </row>
    <row r="48" spans="2:7" x14ac:dyDescent="0.25">
      <c r="B48" s="74" t="s">
        <v>89</v>
      </c>
      <c r="C48" s="74"/>
      <c r="D48" s="74"/>
      <c r="E48" s="74"/>
      <c r="F48" s="74"/>
      <c r="G48" s="74"/>
    </row>
  </sheetData>
  <mergeCells count="7">
    <mergeCell ref="B16:J16"/>
    <mergeCell ref="B2:D2"/>
    <mergeCell ref="B8:J8"/>
    <mergeCell ref="B9:J9"/>
    <mergeCell ref="B12:D12"/>
    <mergeCell ref="B14:J14"/>
    <mergeCell ref="B15:J1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2:XFD16"/>
  <sheetViews>
    <sheetView workbookViewId="0">
      <selection activeCell="L12" sqref="L12"/>
    </sheetView>
  </sheetViews>
  <sheetFormatPr defaultRowHeight="15" x14ac:dyDescent="0.25"/>
  <cols>
    <col min="1" max="1" width="2" style="2" customWidth="1"/>
    <col min="2" max="2" width="8.42578125" style="2" bestFit="1" customWidth="1"/>
    <col min="3" max="3" width="23" style="2" customWidth="1"/>
    <col min="4" max="4" width="33.7109375" style="2" customWidth="1"/>
    <col min="5" max="5" width="10.42578125" style="2" bestFit="1" customWidth="1"/>
    <col min="6" max="6" width="10.5703125" style="2" bestFit="1" customWidth="1"/>
    <col min="7" max="7" width="23" style="2" customWidth="1"/>
    <col min="8" max="8" width="22" style="2" customWidth="1"/>
    <col min="9" max="10" width="18.7109375" style="2" hidden="1" customWidth="1"/>
    <col min="11" max="16384" width="9.140625" style="2"/>
  </cols>
  <sheetData>
    <row r="2" spans="2:10 16384:16384" ht="23.25" x14ac:dyDescent="0.35">
      <c r="B2" s="107" t="s">
        <v>37</v>
      </c>
      <c r="C2" s="107"/>
      <c r="D2" s="107"/>
      <c r="E2" s="26"/>
      <c r="F2" s="26"/>
      <c r="G2" s="26"/>
      <c r="H2" s="26"/>
    </row>
    <row r="4" spans="2:10 16384:16384" ht="45" x14ac:dyDescent="0.25">
      <c r="B4" s="72" t="s">
        <v>38</v>
      </c>
      <c r="C4" s="71" t="s">
        <v>104</v>
      </c>
    </row>
    <row r="5" spans="2:10 16384:16384" x14ac:dyDescent="0.25">
      <c r="B5" s="27" t="s">
        <v>39</v>
      </c>
      <c r="C5" s="28" t="s">
        <v>40</v>
      </c>
    </row>
    <row r="6" spans="2:10 16384:16384" x14ac:dyDescent="0.25">
      <c r="B6" s="27" t="s">
        <v>41</v>
      </c>
      <c r="C6" s="28" t="s">
        <v>105</v>
      </c>
    </row>
    <row r="8" spans="2:10 16384:16384" ht="42" customHeight="1" thickBot="1" x14ac:dyDescent="0.3">
      <c r="B8" s="108" t="s">
        <v>85</v>
      </c>
      <c r="C8" s="109"/>
      <c r="D8" s="109"/>
      <c r="E8" s="109"/>
      <c r="F8" s="109"/>
      <c r="G8" s="109"/>
      <c r="H8" s="109"/>
      <c r="I8" s="109"/>
      <c r="J8" s="109"/>
    </row>
    <row r="9" spans="2:10 16384:16384" ht="20.25" thickTop="1" thickBot="1" x14ac:dyDescent="0.3">
      <c r="B9" s="104" t="s">
        <v>76</v>
      </c>
      <c r="C9" s="105"/>
      <c r="D9" s="105"/>
      <c r="E9" s="105"/>
      <c r="F9" s="105"/>
      <c r="G9" s="105"/>
      <c r="H9" s="105"/>
      <c r="I9" s="105"/>
      <c r="J9" s="105"/>
    </row>
    <row r="10" spans="2:10 16384:16384" ht="46.5" thickTop="1" thickBot="1" x14ac:dyDescent="0.3">
      <c r="B10" s="29" t="s">
        <v>43</v>
      </c>
      <c r="C10" s="29" t="s">
        <v>44</v>
      </c>
      <c r="D10" s="29" t="s">
        <v>45</v>
      </c>
      <c r="E10" s="29" t="s">
        <v>46</v>
      </c>
      <c r="F10" s="29" t="s">
        <v>47</v>
      </c>
      <c r="G10" s="29" t="s">
        <v>78</v>
      </c>
      <c r="H10" s="29" t="s">
        <v>49</v>
      </c>
      <c r="I10" s="29" t="s">
        <v>50</v>
      </c>
      <c r="J10" s="29" t="s">
        <v>51</v>
      </c>
    </row>
    <row r="11" spans="2:10 16384:16384" ht="61.5" thickTop="1" thickBot="1" x14ac:dyDescent="0.3">
      <c r="B11" s="30">
        <v>1</v>
      </c>
      <c r="C11" s="32" t="s">
        <v>52</v>
      </c>
      <c r="D11" s="32" t="str">
        <f>'Land Valuation (Market)'!$D$11</f>
        <v>Premises No. 17, Pagladanga Road, P.S. : Pragati Maidan, (Formerly Tiljala), Ward No. 57, Borough-VII under the KMC, Kolkata-700105</v>
      </c>
      <c r="E11" s="33">
        <f>'Land Valuation (Market)'!E11</f>
        <v>2579.0500000000002</v>
      </c>
      <c r="F11" s="78">
        <f>'Land Valuation (Market)'!F11</f>
        <v>38.556797500000002</v>
      </c>
      <c r="G11" s="34" t="s">
        <v>77</v>
      </c>
      <c r="H11" s="76">
        <v>78963742</v>
      </c>
      <c r="I11" s="34" t="s">
        <v>77</v>
      </c>
      <c r="J11" s="34" t="s">
        <v>77</v>
      </c>
    </row>
    <row r="12" spans="2:10 16384:16384" ht="16.5" thickTop="1" thickBot="1" x14ac:dyDescent="0.3">
      <c r="B12" s="106" t="s">
        <v>14</v>
      </c>
      <c r="C12" s="106"/>
      <c r="D12" s="106"/>
      <c r="E12" s="35">
        <f>E11</f>
        <v>2579.0500000000002</v>
      </c>
      <c r="F12" s="35">
        <f>F11</f>
        <v>38.556797500000002</v>
      </c>
      <c r="G12" s="36" t="str">
        <f>G11</f>
        <v>-</v>
      </c>
      <c r="H12" s="77">
        <f>H11</f>
        <v>78963742</v>
      </c>
      <c r="I12" s="36" t="str">
        <f>I11</f>
        <v>-</v>
      </c>
      <c r="J12" s="36" t="str">
        <f>J11</f>
        <v>-</v>
      </c>
      <c r="XFD12" s="36">
        <f>XFD11</f>
        <v>0</v>
      </c>
    </row>
    <row r="13" spans="2:10 16384:16384" ht="16.5" thickTop="1" thickBot="1" x14ac:dyDescent="0.3">
      <c r="B13" s="37"/>
      <c r="C13" s="37"/>
      <c r="D13" s="37"/>
      <c r="E13" s="38"/>
      <c r="F13" s="39"/>
      <c r="G13" s="40"/>
      <c r="H13" s="40"/>
    </row>
    <row r="14" spans="2:10 16384:16384" ht="16.5" thickTop="1" thickBot="1" x14ac:dyDescent="0.3">
      <c r="B14" s="98" t="s">
        <v>53</v>
      </c>
      <c r="C14" s="99"/>
      <c r="D14" s="99"/>
      <c r="E14" s="99"/>
      <c r="F14" s="99"/>
      <c r="G14" s="99"/>
      <c r="H14" s="99"/>
      <c r="I14" s="99"/>
      <c r="J14" s="100"/>
    </row>
    <row r="15" spans="2:10 16384:16384" ht="28.5" customHeight="1" thickTop="1" thickBot="1" x14ac:dyDescent="0.3">
      <c r="B15" s="110" t="s">
        <v>103</v>
      </c>
      <c r="C15" s="111"/>
      <c r="D15" s="111"/>
      <c r="E15" s="111"/>
      <c r="F15" s="111"/>
      <c r="G15" s="111"/>
      <c r="H15" s="111"/>
      <c r="I15" s="111"/>
      <c r="J15" s="112"/>
    </row>
    <row r="16" spans="2:10 16384:16384" ht="16.5" thickTop="1" thickBot="1" x14ac:dyDescent="0.3">
      <c r="B16" s="110" t="s">
        <v>55</v>
      </c>
      <c r="C16" s="111"/>
      <c r="D16" s="111"/>
      <c r="E16" s="111"/>
      <c r="F16" s="111"/>
      <c r="G16" s="111"/>
      <c r="H16" s="111"/>
      <c r="I16" s="111"/>
      <c r="J16" s="112"/>
    </row>
  </sheetData>
  <mergeCells count="7">
    <mergeCell ref="B16:J16"/>
    <mergeCell ref="B2:D2"/>
    <mergeCell ref="B8:J8"/>
    <mergeCell ref="B9:J9"/>
    <mergeCell ref="B12:D12"/>
    <mergeCell ref="B14:J14"/>
    <mergeCell ref="B15:J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Project Summary</vt:lpstr>
      <vt:lpstr>Assumptions</vt:lpstr>
      <vt:lpstr>Inflow</vt:lpstr>
      <vt:lpstr>Land Valuation (Resi.)</vt:lpstr>
      <vt:lpstr>Land Valuation (Market)</vt:lpstr>
      <vt:lpstr>Land Valuation (Guideline)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Tejas Bharadwaj</dc:creator>
  <cp:lastModifiedBy>Babul</cp:lastModifiedBy>
  <dcterms:created xsi:type="dcterms:W3CDTF">2022-11-17T11:49:23Z</dcterms:created>
  <dcterms:modified xsi:type="dcterms:W3CDTF">2022-12-13T12:34:08Z</dcterms:modified>
</cp:coreProperties>
</file>