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In Progress Files\Adil Afaque\uploads\VIS(2022-23)-PL395-308-573-Yashika-104 (Ms Apricus Hills Pvt. Ltd.)\Working\"/>
    </mc:Choice>
  </mc:AlternateContent>
  <bookViews>
    <workbookView xWindow="0" yWindow="0" windowWidth="24000" windowHeight="9735" firstSheet="1" activeTab="2"/>
  </bookViews>
  <sheets>
    <sheet name="Pivot" sheetId="2" r:id="rId1"/>
    <sheet name="Inventory" sheetId="1" r:id="rId2"/>
    <sheet name="Area Details" sheetId="3" r:id="rId3"/>
    <sheet name="Online Available" sheetId="4" r:id="rId4"/>
  </sheets>
  <calcPr calcId="152511"/>
  <pivotCaches>
    <pivotCache cacheId="7" r:id="rId5"/>
  </pivotCache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52" i="3" l="1"/>
  <c r="P51" i="3"/>
  <c r="P49" i="3"/>
  <c r="P48" i="3"/>
  <c r="O49" i="3"/>
  <c r="O48" i="3"/>
  <c r="O47" i="3"/>
  <c r="L49" i="3"/>
  <c r="L48" i="3"/>
  <c r="O16" i="1"/>
  <c r="N16" i="1"/>
  <c r="L16" i="1"/>
  <c r="N15" i="1"/>
  <c r="O15" i="1"/>
  <c r="L15" i="1"/>
  <c r="O3" i="1"/>
  <c r="O4" i="1"/>
  <c r="O5" i="1"/>
  <c r="O6" i="1"/>
  <c r="O7" i="1"/>
  <c r="O8" i="1"/>
  <c r="O9" i="1"/>
  <c r="O10" i="1"/>
  <c r="O11" i="1"/>
  <c r="O12" i="1"/>
  <c r="O13" i="1"/>
  <c r="O14" i="1"/>
  <c r="O2" i="1"/>
  <c r="N3" i="1"/>
  <c r="N4" i="1"/>
  <c r="N5" i="1"/>
  <c r="N6" i="1"/>
  <c r="N7" i="1"/>
  <c r="N8" i="1"/>
  <c r="N9" i="1"/>
  <c r="N10" i="1"/>
  <c r="N11" i="1"/>
  <c r="N12" i="1"/>
  <c r="N13" i="1"/>
  <c r="N14" i="1"/>
  <c r="N17" i="1"/>
  <c r="N18" i="1"/>
  <c r="N19" i="1"/>
  <c r="N20" i="1"/>
  <c r="N2" i="1"/>
  <c r="L3" i="1"/>
  <c r="L4" i="1"/>
  <c r="L5" i="1"/>
  <c r="L6" i="1"/>
  <c r="L7" i="1"/>
  <c r="L8" i="1"/>
  <c r="L9" i="1"/>
  <c r="L10" i="1"/>
  <c r="L11" i="1"/>
  <c r="L12" i="1"/>
  <c r="L13" i="1"/>
  <c r="L14" i="1"/>
  <c r="L2" i="1"/>
  <c r="H20" i="1"/>
  <c r="H19" i="1"/>
  <c r="F18" i="1"/>
  <c r="G50" i="3"/>
  <c r="G49" i="3"/>
  <c r="F49" i="3"/>
  <c r="F48" i="3"/>
  <c r="I47" i="3"/>
  <c r="I46" i="3"/>
  <c r="G47" i="3"/>
  <c r="G46" i="3"/>
  <c r="I10" i="3"/>
  <c r="H10" i="3"/>
  <c r="C64" i="3"/>
  <c r="C63" i="3"/>
  <c r="H69" i="3"/>
  <c r="H66" i="3"/>
  <c r="H65" i="3"/>
  <c r="H64" i="3"/>
  <c r="H63" i="3"/>
  <c r="G65" i="3"/>
  <c r="G64" i="3"/>
  <c r="G63" i="3"/>
  <c r="F65" i="3"/>
  <c r="F64" i="3"/>
  <c r="F63" i="3"/>
  <c r="E62" i="3"/>
  <c r="D62" i="3"/>
  <c r="J17" i="1"/>
  <c r="J16" i="1"/>
  <c r="J3" i="1"/>
  <c r="J4" i="1"/>
  <c r="J5" i="1"/>
  <c r="J6" i="1"/>
  <c r="J7" i="1"/>
  <c r="J8" i="1"/>
  <c r="J9" i="1"/>
  <c r="J10" i="1"/>
  <c r="J11" i="1"/>
  <c r="J12" i="1"/>
  <c r="J13" i="1"/>
  <c r="J14" i="1"/>
  <c r="J15" i="1"/>
  <c r="J2" i="1"/>
  <c r="G56" i="3"/>
  <c r="G53" i="3"/>
  <c r="G52" i="3"/>
  <c r="V15" i="1"/>
  <c r="U15" i="1"/>
  <c r="U13" i="1"/>
  <c r="U10" i="1"/>
  <c r="U8" i="1"/>
  <c r="U6" i="1"/>
  <c r="U4" i="1"/>
  <c r="T15" i="1"/>
  <c r="H17" i="1"/>
  <c r="D57" i="3"/>
  <c r="H20" i="3"/>
  <c r="D52" i="3"/>
  <c r="D48" i="3"/>
  <c r="D47" i="3"/>
  <c r="D46" i="3"/>
  <c r="E43" i="3"/>
  <c r="D43" i="3"/>
  <c r="I27" i="3"/>
  <c r="H27" i="3"/>
  <c r="D21" i="3"/>
  <c r="D15" i="3"/>
  <c r="D14" i="3"/>
  <c r="F12" i="3"/>
  <c r="F11" i="3"/>
  <c r="D12" i="3"/>
  <c r="G5" i="3"/>
  <c r="E5" i="3"/>
  <c r="H16" i="1"/>
  <c r="E16" i="1"/>
  <c r="F16" i="1"/>
  <c r="D5" i="3"/>
  <c r="D4" i="3"/>
  <c r="I48" i="3" l="1"/>
</calcChain>
</file>

<file path=xl/sharedStrings.xml><?xml version="1.0" encoding="utf-8"?>
<sst xmlns="http://schemas.openxmlformats.org/spreadsheetml/2006/main" count="136" uniqueCount="81">
  <si>
    <t>3 BHK</t>
  </si>
  <si>
    <t>5T</t>
  </si>
  <si>
    <t>1AT3</t>
  </si>
  <si>
    <t>1A</t>
  </si>
  <si>
    <t>2T</t>
  </si>
  <si>
    <r>
      <rPr>
        <sz val="10"/>
        <color rgb="FF111111"/>
        <rFont val="Arial"/>
        <family val="2"/>
      </rPr>
      <t>6T</t>
    </r>
  </si>
  <si>
    <r>
      <rPr>
        <sz val="10"/>
        <color rgb="FF212121"/>
        <rFont val="Arial"/>
        <family val="2"/>
      </rPr>
      <t>1T</t>
    </r>
  </si>
  <si>
    <t>Row Labels</t>
  </si>
  <si>
    <t>Grand Total</t>
  </si>
  <si>
    <t>6T</t>
  </si>
  <si>
    <t>1T</t>
  </si>
  <si>
    <t>1 BHK</t>
  </si>
  <si>
    <t>2 BHK</t>
  </si>
  <si>
    <t>Sr. No.</t>
  </si>
  <si>
    <t xml:space="preserve">Unit Category </t>
  </si>
  <si>
    <t xml:space="preserve">Type </t>
  </si>
  <si>
    <t xml:space="preserve">Store Room </t>
  </si>
  <si>
    <t xml:space="preserve"> Total no. of Unit  </t>
  </si>
  <si>
    <t xml:space="preserve"> Carpet Area In Sq. Ft. </t>
  </si>
  <si>
    <t>Rate per sq. ft. in INR</t>
  </si>
  <si>
    <t>Balcony Rate in sq. ft. in INR</t>
  </si>
  <si>
    <t xml:space="preserve"> Balcony  Area in sq. ft. </t>
  </si>
  <si>
    <t>Kanal</t>
  </si>
  <si>
    <t>Marla</t>
  </si>
  <si>
    <t>acre</t>
  </si>
  <si>
    <t>ACRE TO MARLA</t>
  </si>
  <si>
    <t>SQ. MTR.</t>
  </si>
  <si>
    <t>Total Plot Area</t>
  </si>
  <si>
    <t>Permissible Commercial @8%</t>
  </si>
  <si>
    <t>Permissible Residential @92%</t>
  </si>
  <si>
    <t>Commercial Plot Area</t>
  </si>
  <si>
    <t>Permissible FAR on Commercial</t>
  </si>
  <si>
    <t>12% extra IGBC Gold green Rating FAR Commercial</t>
  </si>
  <si>
    <t>IGBC No. (GAH221152)</t>
  </si>
  <si>
    <t>Total permissible FAR for Commercial</t>
  </si>
  <si>
    <t>acres</t>
  </si>
  <si>
    <t>sq. mtr.</t>
  </si>
  <si>
    <t>Permissible FAR on Residential</t>
  </si>
  <si>
    <t>Covered area for Residential</t>
  </si>
  <si>
    <t>Total permissible FAR for Residential</t>
  </si>
  <si>
    <t>Remaining plot area for Residential</t>
  </si>
  <si>
    <t>Ground coverage for Residential = Residential ground+Commercial area+Aanganwadi area</t>
  </si>
  <si>
    <t>Total Built-up area = FAR+Commercial+Aanganwadi+Community+Mumty</t>
  </si>
  <si>
    <t>No. of Units</t>
  </si>
  <si>
    <t>PPA</t>
  </si>
  <si>
    <t>Density</t>
  </si>
  <si>
    <t>750 - 900</t>
  </si>
  <si>
    <t>Green Area</t>
  </si>
  <si>
    <t>15% of the Plot</t>
  </si>
  <si>
    <t>Ground Coverage for Commercial</t>
  </si>
  <si>
    <t>Ground Coverage for Residential</t>
  </si>
  <si>
    <t>Units</t>
  </si>
  <si>
    <t>Ground Coverage</t>
  </si>
  <si>
    <t xml:space="preserve">Non-FAR Area </t>
  </si>
  <si>
    <t>Residential</t>
  </si>
  <si>
    <t>Commer</t>
  </si>
  <si>
    <t>permissible</t>
  </si>
  <si>
    <t>proposed</t>
  </si>
  <si>
    <t>Tower No.</t>
  </si>
  <si>
    <t>No. of Floors</t>
  </si>
  <si>
    <t>Typical Floor</t>
  </si>
  <si>
    <t>1st to 14th</t>
  </si>
  <si>
    <t>Unit per Floor</t>
  </si>
  <si>
    <t>Built-up Area</t>
  </si>
  <si>
    <t>S+14</t>
  </si>
  <si>
    <t>G+10</t>
  </si>
  <si>
    <t>1st to 7th</t>
  </si>
  <si>
    <t>8th to 14th</t>
  </si>
  <si>
    <t>1st to 9th</t>
  </si>
  <si>
    <t>10th to 14th</t>
  </si>
  <si>
    <t>Ground</t>
  </si>
  <si>
    <t>1st to 10th</t>
  </si>
  <si>
    <t>Sale Price</t>
  </si>
  <si>
    <t>sq yd</t>
  </si>
  <si>
    <t xml:space="preserve"> </t>
  </si>
  <si>
    <t>Rate @ 4,000/- per sq. ft</t>
  </si>
  <si>
    <t>Rate @ 4,500/- per sq. ft</t>
  </si>
  <si>
    <t>Sale Price
(in Rs.)</t>
  </si>
  <si>
    <t>Balcony Price
(@Rs.1000/ sq. ft.)</t>
  </si>
  <si>
    <t>Land</t>
  </si>
  <si>
    <t>Building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</si>
</sst>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 * #,##0.00_ ;_ * \-#,##0.00_ ;_ * &quot;-&quot;??_ ;_ @_ "/>
    <numFmt numFmtId="167" formatCode="_ * #,##0_ ;_ * \-#,##0_ ;_ * &quot;-&quot;??_ ;_ @_ "/>
    <numFmt numFmtId="175" formatCode="0.0000"/>
    <numFmt numFmtId="177" formatCode="_ * #,##0.0000_ ;_ * \-#,##0.0000_ ;_ * &quot;-&quot;??_ ;_ @_ "/>
    <numFmt numFmtId="179" formatCode="0.0%"/>
  </numFmts>
  <fonts count="18" x14ac:knownFonts="1">
    <font>
      <sz val="11"/>
      <color theme="1"/>
      <name val="Calibri"/>
      <family val="2"/>
      <scheme val="minor"/>
    </font>
    <font>
      <sz val="10"/>
      <color rgb="FF000000"/>
      <name val="Times New Roman"/>
      <charset val="204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  <font>
      <sz val="10"/>
      <color rgb="FF1C1C1C"/>
      <name val="Arial"/>
      <family val="2"/>
    </font>
    <font>
      <sz val="10"/>
      <color rgb="FF111111"/>
      <name val="Arial"/>
      <family val="2"/>
    </font>
    <font>
      <sz val="10"/>
      <color rgb="FF0F0F0F"/>
      <name val="Arial"/>
      <family val="2"/>
    </font>
    <font>
      <sz val="10"/>
      <color rgb="FF181818"/>
      <name val="Arial"/>
      <family val="2"/>
    </font>
    <font>
      <sz val="10"/>
      <color rgb="FF212121"/>
      <name val="Arial"/>
      <family val="2"/>
    </font>
    <font>
      <sz val="10"/>
      <color rgb="FF1D1D1D"/>
      <name val="Arial"/>
      <family val="2"/>
    </font>
    <font>
      <sz val="10"/>
      <color rgb="FF3D3D3D"/>
      <name val="Arial"/>
      <family val="2"/>
    </font>
    <font>
      <b/>
      <sz val="10"/>
      <color rgb="FFFFFFFF"/>
      <name val="Arial"/>
      <family val="2"/>
    </font>
    <font>
      <b/>
      <sz val="10"/>
      <color theme="1"/>
      <name val="Arial"/>
      <family val="2"/>
    </font>
    <font>
      <b/>
      <sz val="11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4">
    <xf numFmtId="0" fontId="0" fillId="0" borderId="0"/>
    <xf numFmtId="0" fontId="1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76">
    <xf numFmtId="0" fontId="0" fillId="0" borderId="0" xfId="0"/>
    <xf numFmtId="0" fontId="5" fillId="0" borderId="0" xfId="0" applyFont="1" applyAlignment="1">
      <alignment horizontal="center" vertical="center"/>
    </xf>
    <xf numFmtId="0" fontId="6" fillId="0" borderId="1" xfId="1" applyFont="1" applyFill="1" applyBorder="1" applyAlignment="1">
      <alignment horizontal="center" vertical="center"/>
    </xf>
    <xf numFmtId="1" fontId="7" fillId="0" borderId="1" xfId="1" applyNumberFormat="1" applyFont="1" applyFill="1" applyBorder="1" applyAlignment="1">
      <alignment horizontal="center" vertical="center" shrinkToFit="1"/>
    </xf>
    <xf numFmtId="1" fontId="10" fillId="0" borderId="1" xfId="1" applyNumberFormat="1" applyFont="1" applyFill="1" applyBorder="1" applyAlignment="1">
      <alignment horizontal="center" vertical="center" shrinkToFit="1"/>
    </xf>
    <xf numFmtId="1" fontId="11" fillId="0" borderId="1" xfId="1" applyNumberFormat="1" applyFont="1" applyFill="1" applyBorder="1" applyAlignment="1">
      <alignment horizontal="center" vertical="center" shrinkToFit="1"/>
    </xf>
    <xf numFmtId="0" fontId="5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5" fillId="0" borderId="1" xfId="0" applyFont="1" applyBorder="1" applyAlignment="1">
      <alignment horizontal="center" vertical="center"/>
    </xf>
    <xf numFmtId="43" fontId="7" fillId="0" borderId="1" xfId="2" applyFont="1" applyFill="1" applyBorder="1" applyAlignment="1">
      <alignment horizontal="center" vertical="center" shrinkToFit="1"/>
    </xf>
    <xf numFmtId="43" fontId="6" fillId="0" borderId="1" xfId="2" applyFont="1" applyFill="1" applyBorder="1" applyAlignment="1">
      <alignment horizontal="center" vertical="center"/>
    </xf>
    <xf numFmtId="43" fontId="5" fillId="0" borderId="0" xfId="2" applyFont="1" applyAlignment="1">
      <alignment vertical="center"/>
    </xf>
    <xf numFmtId="167" fontId="7" fillId="0" borderId="1" xfId="2" applyNumberFormat="1" applyFont="1" applyFill="1" applyBorder="1" applyAlignment="1">
      <alignment horizontal="center" vertical="center" shrinkToFit="1"/>
    </xf>
    <xf numFmtId="167" fontId="6" fillId="0" borderId="1" xfId="2" applyNumberFormat="1" applyFont="1" applyFill="1" applyBorder="1" applyAlignment="1">
      <alignment horizontal="center" vertical="center"/>
    </xf>
    <xf numFmtId="167" fontId="14" fillId="0" borderId="1" xfId="2" applyNumberFormat="1" applyFont="1" applyFill="1" applyBorder="1" applyAlignment="1">
      <alignment horizontal="center" vertical="center" shrinkToFit="1"/>
    </xf>
    <xf numFmtId="167" fontId="5" fillId="0" borderId="0" xfId="2" applyNumberFormat="1" applyFont="1" applyAlignment="1">
      <alignment vertical="center"/>
    </xf>
    <xf numFmtId="43" fontId="7" fillId="0" borderId="1" xfId="2" applyFont="1" applyFill="1" applyBorder="1" applyAlignment="1">
      <alignment horizontal="center" vertical="center"/>
    </xf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Alignment="1">
      <alignment horizontal="left" indent="1"/>
    </xf>
    <xf numFmtId="1" fontId="8" fillId="0" borderId="1" xfId="2" applyNumberFormat="1" applyFont="1" applyFill="1" applyBorder="1" applyAlignment="1">
      <alignment horizontal="center" vertical="center" shrinkToFit="1"/>
    </xf>
    <xf numFmtId="1" fontId="7" fillId="0" borderId="1" xfId="2" applyNumberFormat="1" applyFont="1" applyFill="1" applyBorder="1" applyAlignment="1">
      <alignment horizontal="center" vertical="center" shrinkToFit="1"/>
    </xf>
    <xf numFmtId="1" fontId="10" fillId="0" borderId="1" xfId="2" applyNumberFormat="1" applyFont="1" applyFill="1" applyBorder="1" applyAlignment="1">
      <alignment horizontal="center" vertical="center" shrinkToFit="1"/>
    </xf>
    <xf numFmtId="1" fontId="11" fillId="0" borderId="1" xfId="2" applyNumberFormat="1" applyFont="1" applyFill="1" applyBorder="1" applyAlignment="1">
      <alignment horizontal="center" vertical="center" shrinkToFit="1"/>
    </xf>
    <xf numFmtId="1" fontId="7" fillId="0" borderId="1" xfId="2" applyNumberFormat="1" applyFont="1" applyFill="1" applyBorder="1" applyAlignment="1">
      <alignment horizontal="center" vertical="center"/>
    </xf>
    <xf numFmtId="1" fontId="13" fillId="0" borderId="1" xfId="2" applyNumberFormat="1" applyFont="1" applyFill="1" applyBorder="1" applyAlignment="1">
      <alignment horizontal="center" vertical="center" shrinkToFit="1"/>
    </xf>
    <xf numFmtId="1" fontId="9" fillId="0" borderId="1" xfId="2" applyNumberFormat="1" applyFont="1" applyFill="1" applyBorder="1" applyAlignment="1">
      <alignment horizontal="center" vertical="center" shrinkToFit="1"/>
    </xf>
    <xf numFmtId="1" fontId="5" fillId="0" borderId="0" xfId="2" applyNumberFormat="1" applyFont="1" applyAlignment="1">
      <alignment vertical="center"/>
    </xf>
    <xf numFmtId="0" fontId="15" fillId="2" borderId="2" xfId="0" applyFont="1" applyFill="1" applyBorder="1" applyAlignment="1">
      <alignment horizontal="center" vertical="center" wrapText="1"/>
    </xf>
    <xf numFmtId="0" fontId="15" fillId="2" borderId="3" xfId="0" applyFont="1" applyFill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0" fillId="0" borderId="0" xfId="0" applyAlignment="1">
      <alignment vertical="center"/>
    </xf>
    <xf numFmtId="175" fontId="4" fillId="0" borderId="1" xfId="0" applyNumberFormat="1" applyFont="1" applyBorder="1" applyAlignment="1">
      <alignment vertical="center"/>
    </xf>
    <xf numFmtId="167" fontId="0" fillId="0" borderId="1" xfId="2" applyNumberFormat="1" applyFont="1" applyBorder="1" applyAlignment="1">
      <alignment vertical="center"/>
    </xf>
    <xf numFmtId="177" fontId="0" fillId="0" borderId="0" xfId="2" applyNumberFormat="1" applyFont="1" applyAlignment="1">
      <alignment vertical="center"/>
    </xf>
    <xf numFmtId="43" fontId="0" fillId="0" borderId="0" xfId="2" applyFont="1" applyAlignment="1">
      <alignment vertical="center"/>
    </xf>
    <xf numFmtId="177" fontId="0" fillId="0" borderId="0" xfId="0" applyNumberFormat="1" applyAlignment="1">
      <alignment vertical="center"/>
    </xf>
    <xf numFmtId="43" fontId="0" fillId="0" borderId="0" xfId="0" applyNumberFormat="1" applyAlignment="1">
      <alignment vertical="center"/>
    </xf>
    <xf numFmtId="177" fontId="0" fillId="0" borderId="1" xfId="2" applyNumberFormat="1" applyFont="1" applyBorder="1" applyAlignment="1">
      <alignment vertical="center"/>
    </xf>
    <xf numFmtId="43" fontId="0" fillId="0" borderId="1" xfId="2" applyFont="1" applyBorder="1" applyAlignment="1">
      <alignment vertical="center"/>
    </xf>
    <xf numFmtId="177" fontId="0" fillId="0" borderId="1" xfId="0" applyNumberFormat="1" applyBorder="1" applyAlignment="1">
      <alignment vertical="center"/>
    </xf>
    <xf numFmtId="0" fontId="0" fillId="0" borderId="1" xfId="0" applyBorder="1" applyAlignment="1">
      <alignment vertical="center" wrapText="1"/>
    </xf>
    <xf numFmtId="9" fontId="0" fillId="0" borderId="1" xfId="0" applyNumberFormat="1" applyBorder="1" applyAlignment="1">
      <alignment vertical="center"/>
    </xf>
    <xf numFmtId="179" fontId="0" fillId="0" borderId="1" xfId="0" applyNumberFormat="1" applyBorder="1" applyAlignment="1">
      <alignment vertical="center"/>
    </xf>
    <xf numFmtId="10" fontId="0" fillId="0" borderId="1" xfId="2" applyNumberFormat="1" applyFont="1" applyBorder="1" applyAlignment="1">
      <alignment vertical="center"/>
    </xf>
    <xf numFmtId="10" fontId="0" fillId="0" borderId="0" xfId="3" applyNumberFormat="1" applyFont="1" applyAlignment="1">
      <alignment vertical="center"/>
    </xf>
    <xf numFmtId="0" fontId="3" fillId="0" borderId="1" xfId="0" applyFont="1" applyBorder="1" applyAlignment="1">
      <alignment vertical="center"/>
    </xf>
    <xf numFmtId="0" fontId="5" fillId="0" borderId="1" xfId="0" applyFont="1" applyBorder="1" applyAlignment="1">
      <alignment horizontal="center" vertical="center" wrapText="1"/>
    </xf>
    <xf numFmtId="43" fontId="5" fillId="0" borderId="1" xfId="2" applyFont="1" applyBorder="1" applyAlignment="1">
      <alignment vertical="center"/>
    </xf>
    <xf numFmtId="0" fontId="16" fillId="0" borderId="1" xfId="0" applyFont="1" applyBorder="1" applyAlignment="1">
      <alignment vertical="center"/>
    </xf>
    <xf numFmtId="43" fontId="16" fillId="0" borderId="1" xfId="2" applyFont="1" applyBorder="1" applyAlignment="1">
      <alignment vertical="center"/>
    </xf>
    <xf numFmtId="0" fontId="5" fillId="0" borderId="4" xfId="0" applyFont="1" applyBorder="1" applyAlignment="1">
      <alignment horizontal="left" vertical="center"/>
    </xf>
    <xf numFmtId="0" fontId="5" fillId="0" borderId="5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5" fillId="0" borderId="4" xfId="0" applyFont="1" applyBorder="1" applyAlignment="1">
      <alignment horizontal="right" vertical="center"/>
    </xf>
    <xf numFmtId="0" fontId="5" fillId="0" borderId="5" xfId="0" applyFont="1" applyBorder="1" applyAlignment="1">
      <alignment horizontal="right" vertical="center"/>
    </xf>
    <xf numFmtId="0" fontId="5" fillId="0" borderId="6" xfId="0" applyFont="1" applyBorder="1" applyAlignment="1">
      <alignment horizontal="right" vertical="center"/>
    </xf>
    <xf numFmtId="43" fontId="5" fillId="0" borderId="4" xfId="2" applyFont="1" applyBorder="1" applyAlignment="1">
      <alignment horizontal="right" vertical="center"/>
    </xf>
    <xf numFmtId="43" fontId="5" fillId="0" borderId="5" xfId="2" applyFont="1" applyBorder="1" applyAlignment="1">
      <alignment horizontal="right" vertical="center"/>
    </xf>
    <xf numFmtId="43" fontId="5" fillId="0" borderId="6" xfId="2" applyFont="1" applyBorder="1" applyAlignment="1">
      <alignment horizontal="right" vertical="center"/>
    </xf>
    <xf numFmtId="0" fontId="17" fillId="0" borderId="0" xfId="0" applyFont="1"/>
    <xf numFmtId="167" fontId="0" fillId="0" borderId="0" xfId="2" applyNumberFormat="1" applyFont="1" applyAlignment="1">
      <alignment vertical="center"/>
    </xf>
    <xf numFmtId="167" fontId="0" fillId="0" borderId="0" xfId="0" applyNumberFormat="1" applyAlignment="1">
      <alignment vertical="center"/>
    </xf>
    <xf numFmtId="0" fontId="15" fillId="2" borderId="7" xfId="0" applyFont="1" applyFill="1" applyBorder="1" applyAlignment="1">
      <alignment horizontal="center" vertical="center" wrapText="1"/>
    </xf>
    <xf numFmtId="167" fontId="6" fillId="0" borderId="8" xfId="2" applyNumberFormat="1" applyFont="1" applyFill="1" applyBorder="1" applyAlignment="1">
      <alignment horizontal="center" vertical="center"/>
    </xf>
    <xf numFmtId="0" fontId="5" fillId="0" borderId="9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 wrapText="1"/>
    </xf>
    <xf numFmtId="167" fontId="5" fillId="0" borderId="1" xfId="2" applyNumberFormat="1" applyFont="1" applyBorder="1" applyAlignment="1">
      <alignment vertical="center"/>
    </xf>
    <xf numFmtId="167" fontId="5" fillId="0" borderId="1" xfId="2" applyNumberFormat="1" applyFont="1" applyBorder="1" applyAlignment="1">
      <alignment horizontal="center" vertical="center"/>
    </xf>
    <xf numFmtId="167" fontId="16" fillId="0" borderId="1" xfId="2" applyNumberFormat="1" applyFont="1" applyBorder="1" applyAlignment="1">
      <alignment vertical="center"/>
    </xf>
    <xf numFmtId="1" fontId="5" fillId="0" borderId="1" xfId="2" applyNumberFormat="1" applyFont="1" applyBorder="1" applyAlignment="1">
      <alignment vertical="center"/>
    </xf>
  </cellXfs>
  <cellStyles count="4">
    <cellStyle name="Comma" xfId="2" builtinId="3"/>
    <cellStyle name="Normal" xfId="0" builtinId="0"/>
    <cellStyle name="Normal 2" xfId="1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pivotCacheDefinition" Target="pivotCache/pivotCacheDefinition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Adil Afaque" refreshedDate="44882.617141435185" createdVersion="5" refreshedVersion="5" minRefreshableVersion="3" recordCount="14">
  <cacheSource type="worksheet">
    <worksheetSource ref="B1:I15" sheet="Inventory"/>
  </cacheSource>
  <cacheFields count="8">
    <cacheField name="Unit Category " numFmtId="0">
      <sharedItems count="5">
        <s v="1 BHK"/>
        <s v="2 BHK"/>
        <s v="3 BHK"/>
        <s v="2BHK" u="1"/>
        <s v="1BHK" u="1"/>
      </sharedItems>
    </cacheField>
    <cacheField name="Type " numFmtId="0">
      <sharedItems containsMixedTypes="1" containsNumber="1" containsInteger="1" minValue="1" maxValue="8" count="14">
        <n v="6"/>
        <s v="6T"/>
        <n v="7"/>
        <n v="3"/>
        <n v="8"/>
        <n v="5"/>
        <s v="5T"/>
        <n v="1"/>
        <s v="1A"/>
        <s v="1AT3"/>
        <s v="1T"/>
        <n v="2"/>
        <s v="2T"/>
        <n v="4"/>
      </sharedItems>
    </cacheField>
    <cacheField name="Store Room " numFmtId="1">
      <sharedItems containsSemiMixedTypes="0" containsString="0" containsNumber="1" containsInteger="1" minValue="0" maxValue="1"/>
    </cacheField>
    <cacheField name=" Total no. of Unit  " numFmtId="167">
      <sharedItems containsSemiMixedTypes="0" containsString="0" containsNumber="1" containsInteger="1" minValue="1" maxValue="276"/>
    </cacheField>
    <cacheField name=" Carpet Area In Sq. Ft. " numFmtId="43">
      <sharedItems containsSemiMixedTypes="0" containsString="0" containsNumber="1" minValue="482.44200000000001" maxValue="638.19799999999998"/>
    </cacheField>
    <cacheField name="Rate per sq. ft. in INR" numFmtId="167">
      <sharedItems containsSemiMixedTypes="0" containsString="0" containsNumber="1" containsInteger="1" minValue="4200" maxValue="4200"/>
    </cacheField>
    <cacheField name=" Balcony  Area in sq. ft. " numFmtId="43">
      <sharedItems containsSemiMixedTypes="0" containsString="0" containsNumber="1" minValue="62.43" maxValue="818.39"/>
    </cacheField>
    <cacheField name="Balcony Rate in sq. ft. in INR" numFmtId="167">
      <sharedItems containsSemiMixedTypes="0" containsString="0" containsNumber="1" containsInteger="1" minValue="1000" maxValue="100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4">
  <r>
    <x v="0"/>
    <x v="0"/>
    <n v="1"/>
    <n v="107"/>
    <n v="515.70299999999997"/>
    <n v="4200"/>
    <n v="85.03"/>
    <n v="1000"/>
  </r>
  <r>
    <x v="0"/>
    <x v="1"/>
    <n v="1"/>
    <n v="3"/>
    <n v="515.70299999999997"/>
    <n v="4200"/>
    <n v="807.72"/>
    <n v="1000"/>
  </r>
  <r>
    <x v="0"/>
    <x v="2"/>
    <n v="1"/>
    <n v="11"/>
    <n v="518.82500000000005"/>
    <n v="4200"/>
    <n v="64.8"/>
    <n v="1000"/>
  </r>
  <r>
    <x v="1"/>
    <x v="3"/>
    <n v="1"/>
    <n v="112"/>
    <n v="605.44000000000005"/>
    <n v="4200"/>
    <n v="87.08"/>
    <n v="1000"/>
  </r>
  <r>
    <x v="1"/>
    <x v="4"/>
    <n v="0"/>
    <n v="11"/>
    <n v="482.44200000000001"/>
    <n v="4200"/>
    <n v="75.349999999999994"/>
    <n v="1000"/>
  </r>
  <r>
    <x v="1"/>
    <x v="5"/>
    <n v="0"/>
    <n v="27"/>
    <n v="515.70299999999997"/>
    <n v="4200"/>
    <n v="85.03"/>
    <n v="1000"/>
  </r>
  <r>
    <x v="1"/>
    <x v="6"/>
    <n v="0"/>
    <n v="1"/>
    <n v="526.46699999999998"/>
    <n v="4200"/>
    <n v="818.39"/>
    <n v="1000"/>
  </r>
  <r>
    <x v="2"/>
    <x v="7"/>
    <n v="0"/>
    <n v="276"/>
    <n v="638.19799999999998"/>
    <n v="4200"/>
    <n v="151.77000000000001"/>
    <n v="1000"/>
  </r>
  <r>
    <x v="2"/>
    <x v="8"/>
    <n v="0"/>
    <n v="14"/>
    <n v="638.19799999999998"/>
    <n v="4200"/>
    <n v="62.43"/>
    <n v="1000"/>
  </r>
  <r>
    <x v="2"/>
    <x v="9"/>
    <n v="0"/>
    <n v="14"/>
    <n v="638.19799999999998"/>
    <n v="4200"/>
    <n v="62.65"/>
    <n v="1000"/>
  </r>
  <r>
    <x v="2"/>
    <x v="10"/>
    <n v="0"/>
    <n v="2"/>
    <n v="638.19799999999998"/>
    <n v="4200"/>
    <n v="605.58000000000004"/>
    <n v="1000"/>
  </r>
  <r>
    <x v="2"/>
    <x v="11"/>
    <n v="0"/>
    <n v="96"/>
    <n v="605.04399999999998"/>
    <n v="4200"/>
    <n v="87.08"/>
    <n v="1000"/>
  </r>
  <r>
    <x v="2"/>
    <x v="12"/>
    <n v="0"/>
    <n v="2"/>
    <n v="605.04399999999998"/>
    <n v="4200"/>
    <n v="809.78"/>
    <n v="1000"/>
  </r>
  <r>
    <x v="2"/>
    <x v="13"/>
    <n v="0"/>
    <n v="28"/>
    <n v="638.19799999999998"/>
    <n v="4200"/>
    <n v="82.24"/>
    <n v="100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1" cacheId="7" applyNumberFormats="0" applyBorderFormats="0" applyFontFormats="0" applyPatternFormats="0" applyAlignmentFormats="0" applyWidthHeightFormats="1" dataCaption="Values" updatedVersion="5" minRefreshableVersion="3" useAutoFormatting="1" itemPrintTitles="1" createdVersion="5" indent="0" outline="1" outlineData="1" multipleFieldFilters="0">
  <location ref="A3:A21" firstHeaderRow="1" firstDataRow="1" firstDataCol="1"/>
  <pivotFields count="8">
    <pivotField axis="axisRow" showAll="0">
      <items count="6">
        <item m="1" x="4"/>
        <item m="1" x="3"/>
        <item x="2"/>
        <item x="0"/>
        <item x="1"/>
        <item t="default"/>
      </items>
    </pivotField>
    <pivotField axis="axisRow" showAll="0">
      <items count="15">
        <item x="7"/>
        <item x="11"/>
        <item x="3"/>
        <item x="13"/>
        <item x="5"/>
        <item x="0"/>
        <item x="2"/>
        <item x="4"/>
        <item x="8"/>
        <item x="9"/>
        <item x="10"/>
        <item x="12"/>
        <item x="6"/>
        <item x="1"/>
        <item t="default"/>
      </items>
    </pivotField>
    <pivotField showAll="0"/>
    <pivotField numFmtId="167" showAll="0" defaultSubtotal="0"/>
    <pivotField numFmtId="43" showAll="0" defaultSubtotal="0"/>
    <pivotField numFmtId="167" showAll="0" defaultSubtotal="0"/>
    <pivotField numFmtId="43" showAll="0" defaultSubtotal="0"/>
    <pivotField numFmtId="167" showAll="0" defaultSubtotal="0"/>
  </pivotFields>
  <rowFields count="2">
    <field x="0"/>
    <field x="1"/>
  </rowFields>
  <rowItems count="18">
    <i>
      <x v="2"/>
    </i>
    <i r="1">
      <x/>
    </i>
    <i r="1">
      <x v="1"/>
    </i>
    <i r="1">
      <x v="3"/>
    </i>
    <i r="1">
      <x v="8"/>
    </i>
    <i r="1">
      <x v="9"/>
    </i>
    <i r="1">
      <x v="10"/>
    </i>
    <i r="1">
      <x v="11"/>
    </i>
    <i>
      <x v="3"/>
    </i>
    <i r="1">
      <x v="5"/>
    </i>
    <i r="1">
      <x v="6"/>
    </i>
    <i r="1">
      <x v="13"/>
    </i>
    <i>
      <x v="4"/>
    </i>
    <i r="1">
      <x v="2"/>
    </i>
    <i r="1">
      <x v="4"/>
    </i>
    <i r="1">
      <x v="7"/>
    </i>
    <i r="1">
      <x v="12"/>
    </i>
    <i t="grand">
      <x/>
    </i>
  </rowItems>
  <colItems count="1">
    <i/>
  </colItem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A21"/>
  <sheetViews>
    <sheetView workbookViewId="0">
      <selection activeCell="B30" sqref="B30"/>
    </sheetView>
  </sheetViews>
  <sheetFormatPr defaultRowHeight="15" x14ac:dyDescent="0.25"/>
  <cols>
    <col min="1" max="1" width="13.140625" bestFit="1" customWidth="1"/>
  </cols>
  <sheetData>
    <row r="3" spans="1:1" x14ac:dyDescent="0.25">
      <c r="A3" s="18" t="s">
        <v>7</v>
      </c>
    </row>
    <row r="4" spans="1:1" x14ac:dyDescent="0.25">
      <c r="A4" s="19" t="s">
        <v>0</v>
      </c>
    </row>
    <row r="5" spans="1:1" x14ac:dyDescent="0.25">
      <c r="A5" s="20">
        <v>1</v>
      </c>
    </row>
    <row r="6" spans="1:1" x14ac:dyDescent="0.25">
      <c r="A6" s="20">
        <v>2</v>
      </c>
    </row>
    <row r="7" spans="1:1" x14ac:dyDescent="0.25">
      <c r="A7" s="20">
        <v>4</v>
      </c>
    </row>
    <row r="8" spans="1:1" x14ac:dyDescent="0.25">
      <c r="A8" s="20" t="s">
        <v>3</v>
      </c>
    </row>
    <row r="9" spans="1:1" x14ac:dyDescent="0.25">
      <c r="A9" s="20" t="s">
        <v>2</v>
      </c>
    </row>
    <row r="10" spans="1:1" x14ac:dyDescent="0.25">
      <c r="A10" s="20" t="s">
        <v>10</v>
      </c>
    </row>
    <row r="11" spans="1:1" x14ac:dyDescent="0.25">
      <c r="A11" s="20" t="s">
        <v>4</v>
      </c>
    </row>
    <row r="12" spans="1:1" x14ac:dyDescent="0.25">
      <c r="A12" s="19" t="s">
        <v>11</v>
      </c>
    </row>
    <row r="13" spans="1:1" x14ac:dyDescent="0.25">
      <c r="A13" s="20">
        <v>6</v>
      </c>
    </row>
    <row r="14" spans="1:1" x14ac:dyDescent="0.25">
      <c r="A14" s="20">
        <v>7</v>
      </c>
    </row>
    <row r="15" spans="1:1" x14ac:dyDescent="0.25">
      <c r="A15" s="20" t="s">
        <v>9</v>
      </c>
    </row>
    <row r="16" spans="1:1" x14ac:dyDescent="0.25">
      <c r="A16" s="19" t="s">
        <v>12</v>
      </c>
    </row>
    <row r="17" spans="1:1" x14ac:dyDescent="0.25">
      <c r="A17" s="20">
        <v>3</v>
      </c>
    </row>
    <row r="18" spans="1:1" x14ac:dyDescent="0.25">
      <c r="A18" s="20">
        <v>5</v>
      </c>
    </row>
    <row r="19" spans="1:1" x14ac:dyDescent="0.25">
      <c r="A19" s="20">
        <v>8</v>
      </c>
    </row>
    <row r="20" spans="1:1" x14ac:dyDescent="0.25">
      <c r="A20" s="20" t="s">
        <v>1</v>
      </c>
    </row>
    <row r="21" spans="1:1" x14ac:dyDescent="0.25">
      <c r="A21" s="19" t="s">
        <v>8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0"/>
  <sheetViews>
    <sheetView workbookViewId="0">
      <selection activeCell="H20" sqref="H20"/>
    </sheetView>
  </sheetViews>
  <sheetFormatPr defaultRowHeight="12.75" x14ac:dyDescent="0.25"/>
  <cols>
    <col min="1" max="1" width="9.140625" style="1"/>
    <col min="2" max="2" width="15.5703125" style="8" bestFit="1" customWidth="1"/>
    <col min="3" max="3" width="5.42578125" style="8" bestFit="1" customWidth="1"/>
    <col min="4" max="4" width="11.140625" style="28" bestFit="1" customWidth="1"/>
    <col min="5" max="5" width="10.42578125" style="16" customWidth="1"/>
    <col min="6" max="6" width="14.140625" style="12" customWidth="1"/>
    <col min="7" max="7" width="12.140625" style="16" hidden="1" customWidth="1"/>
    <col min="8" max="8" width="14" style="12" customWidth="1"/>
    <col min="9" max="9" width="16.28515625" style="16" hidden="1" customWidth="1"/>
    <col min="10" max="10" width="12.85546875" style="16" hidden="1" customWidth="1"/>
    <col min="11" max="11" width="9.140625" style="16"/>
    <col min="12" max="12" width="14.5703125" style="16" bestFit="1" customWidth="1"/>
    <col min="13" max="13" width="9.140625" style="16"/>
    <col min="14" max="14" width="15.5703125" style="16" bestFit="1" customWidth="1"/>
    <col min="15" max="15" width="12.85546875" style="8" bestFit="1" customWidth="1"/>
    <col min="16" max="16" width="9.140625" style="1"/>
    <col min="17" max="17" width="9.140625" style="8"/>
    <col min="18" max="18" width="10.85546875" style="8" bestFit="1" customWidth="1"/>
    <col min="19" max="21" width="9.140625" style="8"/>
    <col min="22" max="22" width="10.28515625" style="8" bestFit="1" customWidth="1"/>
    <col min="23" max="16384" width="9.140625" style="8"/>
  </cols>
  <sheetData>
    <row r="1" spans="1:22" s="6" customFormat="1" ht="51" x14ac:dyDescent="0.25">
      <c r="A1" s="29" t="s">
        <v>13</v>
      </c>
      <c r="B1" s="29" t="s">
        <v>14</v>
      </c>
      <c r="C1" s="29" t="s">
        <v>15</v>
      </c>
      <c r="D1" s="29" t="s">
        <v>16</v>
      </c>
      <c r="E1" s="29" t="s">
        <v>17</v>
      </c>
      <c r="F1" s="29" t="s">
        <v>18</v>
      </c>
      <c r="G1" s="29" t="s">
        <v>19</v>
      </c>
      <c r="H1" s="30" t="s">
        <v>21</v>
      </c>
      <c r="I1" s="29" t="s">
        <v>20</v>
      </c>
      <c r="J1" s="64" t="s">
        <v>72</v>
      </c>
      <c r="K1" s="71" t="s">
        <v>75</v>
      </c>
      <c r="L1" s="71" t="s">
        <v>77</v>
      </c>
      <c r="M1" s="71" t="s">
        <v>76</v>
      </c>
      <c r="N1" s="71" t="s">
        <v>77</v>
      </c>
      <c r="O1" s="71" t="s">
        <v>78</v>
      </c>
      <c r="P1" s="66" t="s">
        <v>58</v>
      </c>
      <c r="Q1" s="48" t="s">
        <v>59</v>
      </c>
      <c r="R1" s="48" t="s">
        <v>60</v>
      </c>
      <c r="S1" s="48"/>
      <c r="T1" s="48" t="s">
        <v>62</v>
      </c>
      <c r="U1" s="48"/>
      <c r="V1" s="48" t="s">
        <v>63</v>
      </c>
    </row>
    <row r="2" spans="1:22" x14ac:dyDescent="0.25">
      <c r="A2" s="9">
        <v>1</v>
      </c>
      <c r="B2" s="2" t="s">
        <v>11</v>
      </c>
      <c r="C2" s="3">
        <v>6</v>
      </c>
      <c r="D2" s="21">
        <v>1</v>
      </c>
      <c r="E2" s="13">
        <v>107</v>
      </c>
      <c r="F2" s="11">
        <v>515.70299999999997</v>
      </c>
      <c r="G2" s="14">
        <v>4200</v>
      </c>
      <c r="H2" s="10">
        <v>85.03</v>
      </c>
      <c r="I2" s="14">
        <v>1000</v>
      </c>
      <c r="J2" s="65">
        <f>(F2*G2)+(H2*I2)</f>
        <v>2250982.6</v>
      </c>
      <c r="K2" s="72">
        <v>4000</v>
      </c>
      <c r="L2" s="72">
        <f>K2*F2*E2</f>
        <v>220720884</v>
      </c>
      <c r="M2" s="72">
        <v>4500</v>
      </c>
      <c r="N2" s="72">
        <f>M2*F2*E2</f>
        <v>248310994.5</v>
      </c>
      <c r="O2" s="73">
        <f>I2*H2</f>
        <v>85030</v>
      </c>
      <c r="P2" s="67">
        <v>1</v>
      </c>
      <c r="Q2" s="7" t="s">
        <v>64</v>
      </c>
      <c r="R2" s="7" t="s">
        <v>61</v>
      </c>
      <c r="S2" s="7">
        <v>14</v>
      </c>
      <c r="T2" s="7">
        <v>112</v>
      </c>
      <c r="U2" s="7">
        <v>112</v>
      </c>
      <c r="V2" s="49">
        <v>8543.49</v>
      </c>
    </row>
    <row r="3" spans="1:22" x14ac:dyDescent="0.25">
      <c r="A3" s="9">
        <v>2</v>
      </c>
      <c r="B3" s="2" t="s">
        <v>11</v>
      </c>
      <c r="C3" s="2" t="s">
        <v>5</v>
      </c>
      <c r="D3" s="22">
        <v>1</v>
      </c>
      <c r="E3" s="13">
        <v>3</v>
      </c>
      <c r="F3" s="11">
        <v>515.70299999999997</v>
      </c>
      <c r="G3" s="14">
        <v>4200</v>
      </c>
      <c r="H3" s="11">
        <v>807.72</v>
      </c>
      <c r="I3" s="14">
        <v>1000</v>
      </c>
      <c r="J3" s="65">
        <f t="shared" ref="J3:J15" si="0">(F3*G3)+(H3*I3)</f>
        <v>2973672.6</v>
      </c>
      <c r="K3" s="72">
        <v>4000</v>
      </c>
      <c r="L3" s="72">
        <f t="shared" ref="L3:L15" si="1">K3*F3*E3</f>
        <v>6188436</v>
      </c>
      <c r="M3" s="72">
        <v>4500</v>
      </c>
      <c r="N3" s="72">
        <f t="shared" ref="N3:N20" si="2">M3*F3*E3</f>
        <v>6961990.5</v>
      </c>
      <c r="O3" s="73">
        <f t="shared" ref="O3:O14" si="3">I3*H3</f>
        <v>807720</v>
      </c>
      <c r="P3" s="67">
        <v>2</v>
      </c>
      <c r="Q3" s="7" t="s">
        <v>64</v>
      </c>
      <c r="R3" s="7" t="s">
        <v>61</v>
      </c>
      <c r="S3" s="7">
        <v>14</v>
      </c>
      <c r="T3" s="7">
        <v>112</v>
      </c>
      <c r="U3" s="7">
        <v>112</v>
      </c>
      <c r="V3" s="49">
        <v>8543.49</v>
      </c>
    </row>
    <row r="4" spans="1:22" x14ac:dyDescent="0.25">
      <c r="A4" s="9">
        <v>3</v>
      </c>
      <c r="B4" s="2" t="s">
        <v>11</v>
      </c>
      <c r="C4" s="4">
        <v>7</v>
      </c>
      <c r="D4" s="22">
        <v>1</v>
      </c>
      <c r="E4" s="14">
        <v>11</v>
      </c>
      <c r="F4" s="11">
        <v>518.82500000000005</v>
      </c>
      <c r="G4" s="14">
        <v>4200</v>
      </c>
      <c r="H4" s="10">
        <v>64.8</v>
      </c>
      <c r="I4" s="14">
        <v>1000</v>
      </c>
      <c r="J4" s="65">
        <f t="shared" si="0"/>
        <v>2243865</v>
      </c>
      <c r="K4" s="72">
        <v>4000</v>
      </c>
      <c r="L4" s="72">
        <f t="shared" si="1"/>
        <v>22828300.000000004</v>
      </c>
      <c r="M4" s="72">
        <v>4500</v>
      </c>
      <c r="N4" s="72">
        <f t="shared" si="2"/>
        <v>25681837.5</v>
      </c>
      <c r="O4" s="73">
        <f t="shared" si="3"/>
        <v>64800</v>
      </c>
      <c r="P4" s="68">
        <v>3</v>
      </c>
      <c r="Q4" s="52" t="s">
        <v>64</v>
      </c>
      <c r="R4" s="7" t="s">
        <v>66</v>
      </c>
      <c r="S4" s="7">
        <v>7</v>
      </c>
      <c r="T4" s="7">
        <v>56</v>
      </c>
      <c r="U4" s="55">
        <f>T4+T5</f>
        <v>98</v>
      </c>
      <c r="V4" s="58">
        <v>7585.63</v>
      </c>
    </row>
    <row r="5" spans="1:22" x14ac:dyDescent="0.25">
      <c r="A5" s="9">
        <v>4</v>
      </c>
      <c r="B5" s="2" t="s">
        <v>12</v>
      </c>
      <c r="C5" s="3">
        <v>3</v>
      </c>
      <c r="D5" s="22">
        <v>1</v>
      </c>
      <c r="E5" s="13">
        <v>112</v>
      </c>
      <c r="F5" s="17">
        <v>605.44000000000005</v>
      </c>
      <c r="G5" s="14">
        <v>4200</v>
      </c>
      <c r="H5" s="11">
        <v>87.08</v>
      </c>
      <c r="I5" s="14">
        <v>1000</v>
      </c>
      <c r="J5" s="65">
        <f t="shared" si="0"/>
        <v>2629928</v>
      </c>
      <c r="K5" s="72">
        <v>4000</v>
      </c>
      <c r="L5" s="72">
        <f t="shared" si="1"/>
        <v>271237120</v>
      </c>
      <c r="M5" s="72">
        <v>4500</v>
      </c>
      <c r="N5" s="72">
        <f t="shared" si="2"/>
        <v>305141760.00000006</v>
      </c>
      <c r="O5" s="73">
        <f t="shared" si="3"/>
        <v>87080</v>
      </c>
      <c r="P5" s="69"/>
      <c r="Q5" s="53"/>
      <c r="R5" s="7" t="s">
        <v>67</v>
      </c>
      <c r="S5" s="7">
        <v>7</v>
      </c>
      <c r="T5" s="7">
        <v>42</v>
      </c>
      <c r="U5" s="56"/>
      <c r="V5" s="59"/>
    </row>
    <row r="6" spans="1:22" x14ac:dyDescent="0.25">
      <c r="A6" s="9">
        <v>5</v>
      </c>
      <c r="B6" s="2" t="s">
        <v>12</v>
      </c>
      <c r="C6" s="3">
        <v>8</v>
      </c>
      <c r="D6" s="23">
        <v>0</v>
      </c>
      <c r="E6" s="13">
        <v>11</v>
      </c>
      <c r="F6" s="11">
        <v>482.44200000000001</v>
      </c>
      <c r="G6" s="14">
        <v>4200</v>
      </c>
      <c r="H6" s="11">
        <v>75.349999999999994</v>
      </c>
      <c r="I6" s="14">
        <v>1000</v>
      </c>
      <c r="J6" s="65">
        <f t="shared" si="0"/>
        <v>2101606.4000000004</v>
      </c>
      <c r="K6" s="72">
        <v>4000</v>
      </c>
      <c r="L6" s="72">
        <f t="shared" si="1"/>
        <v>21227448</v>
      </c>
      <c r="M6" s="72">
        <v>4500</v>
      </c>
      <c r="N6" s="72">
        <f t="shared" si="2"/>
        <v>23880879</v>
      </c>
      <c r="O6" s="73">
        <f t="shared" si="3"/>
        <v>75350</v>
      </c>
      <c r="P6" s="68">
        <v>4</v>
      </c>
      <c r="Q6" s="52" t="s">
        <v>64</v>
      </c>
      <c r="R6" s="7" t="s">
        <v>66</v>
      </c>
      <c r="S6" s="7">
        <v>10</v>
      </c>
      <c r="T6" s="7">
        <v>80</v>
      </c>
      <c r="U6" s="55">
        <f>T6+T7</f>
        <v>104</v>
      </c>
      <c r="V6" s="58">
        <v>8002.9</v>
      </c>
    </row>
    <row r="7" spans="1:22" x14ac:dyDescent="0.25">
      <c r="A7" s="9">
        <v>6</v>
      </c>
      <c r="B7" s="2" t="s">
        <v>12</v>
      </c>
      <c r="C7" s="5">
        <v>5</v>
      </c>
      <c r="D7" s="22">
        <v>0</v>
      </c>
      <c r="E7" s="13">
        <v>27</v>
      </c>
      <c r="F7" s="10">
        <v>515.70299999999997</v>
      </c>
      <c r="G7" s="14">
        <v>4200</v>
      </c>
      <c r="H7" s="10">
        <v>85.03</v>
      </c>
      <c r="I7" s="14">
        <v>1000</v>
      </c>
      <c r="J7" s="65">
        <f t="shared" si="0"/>
        <v>2250982.6</v>
      </c>
      <c r="K7" s="72">
        <v>4000</v>
      </c>
      <c r="L7" s="72">
        <f t="shared" si="1"/>
        <v>55695924</v>
      </c>
      <c r="M7" s="72">
        <v>4500</v>
      </c>
      <c r="N7" s="72">
        <f t="shared" si="2"/>
        <v>62657914.5</v>
      </c>
      <c r="O7" s="73">
        <f t="shared" si="3"/>
        <v>85030</v>
      </c>
      <c r="P7" s="69"/>
      <c r="Q7" s="53"/>
      <c r="R7" s="7" t="s">
        <v>67</v>
      </c>
      <c r="S7" s="7">
        <v>4</v>
      </c>
      <c r="T7" s="7">
        <v>24</v>
      </c>
      <c r="U7" s="56"/>
      <c r="V7" s="59"/>
    </row>
    <row r="8" spans="1:22" x14ac:dyDescent="0.25">
      <c r="A8" s="9">
        <v>7</v>
      </c>
      <c r="B8" s="2" t="s">
        <v>12</v>
      </c>
      <c r="C8" s="2" t="s">
        <v>1</v>
      </c>
      <c r="D8" s="22">
        <v>0</v>
      </c>
      <c r="E8" s="13">
        <v>1</v>
      </c>
      <c r="F8" s="11">
        <v>526.46699999999998</v>
      </c>
      <c r="G8" s="14">
        <v>4200</v>
      </c>
      <c r="H8" s="11">
        <v>818.39</v>
      </c>
      <c r="I8" s="14">
        <v>1000</v>
      </c>
      <c r="J8" s="65">
        <f t="shared" si="0"/>
        <v>3029551.4</v>
      </c>
      <c r="K8" s="72">
        <v>4000</v>
      </c>
      <c r="L8" s="72">
        <f t="shared" si="1"/>
        <v>2105868</v>
      </c>
      <c r="M8" s="72">
        <v>4500</v>
      </c>
      <c r="N8" s="72">
        <f t="shared" si="2"/>
        <v>2369101.5</v>
      </c>
      <c r="O8" s="73">
        <f t="shared" si="3"/>
        <v>818390</v>
      </c>
      <c r="P8" s="68">
        <v>5</v>
      </c>
      <c r="Q8" s="52" t="s">
        <v>64</v>
      </c>
      <c r="R8" s="7" t="s">
        <v>68</v>
      </c>
      <c r="S8" s="7">
        <v>9</v>
      </c>
      <c r="T8" s="7">
        <v>72</v>
      </c>
      <c r="U8" s="55">
        <f>T8+T9</f>
        <v>102</v>
      </c>
      <c r="V8" s="58">
        <v>7394.29</v>
      </c>
    </row>
    <row r="9" spans="1:22" x14ac:dyDescent="0.25">
      <c r="A9" s="9">
        <v>8</v>
      </c>
      <c r="B9" s="2" t="s">
        <v>0</v>
      </c>
      <c r="C9" s="3">
        <v>1</v>
      </c>
      <c r="D9" s="24">
        <v>0</v>
      </c>
      <c r="E9" s="13">
        <v>276</v>
      </c>
      <c r="F9" s="11">
        <v>638.19799999999998</v>
      </c>
      <c r="G9" s="14">
        <v>4200</v>
      </c>
      <c r="H9" s="11">
        <v>151.77000000000001</v>
      </c>
      <c r="I9" s="14">
        <v>1000</v>
      </c>
      <c r="J9" s="65">
        <f t="shared" si="0"/>
        <v>2832201.6</v>
      </c>
      <c r="K9" s="72">
        <v>4000</v>
      </c>
      <c r="L9" s="72">
        <f t="shared" si="1"/>
        <v>704570592</v>
      </c>
      <c r="M9" s="72">
        <v>4500</v>
      </c>
      <c r="N9" s="72">
        <f t="shared" si="2"/>
        <v>792641916</v>
      </c>
      <c r="O9" s="73">
        <f t="shared" si="3"/>
        <v>151770</v>
      </c>
      <c r="P9" s="69"/>
      <c r="Q9" s="53"/>
      <c r="R9" s="7" t="s">
        <v>69</v>
      </c>
      <c r="S9" s="7">
        <v>4</v>
      </c>
      <c r="T9" s="7">
        <v>30</v>
      </c>
      <c r="U9" s="56"/>
      <c r="V9" s="59"/>
    </row>
    <row r="10" spans="1:22" x14ac:dyDescent="0.25">
      <c r="A10" s="9">
        <v>9</v>
      </c>
      <c r="B10" s="2" t="s">
        <v>0</v>
      </c>
      <c r="C10" s="2" t="s">
        <v>3</v>
      </c>
      <c r="D10" s="22">
        <v>0</v>
      </c>
      <c r="E10" s="13">
        <v>14</v>
      </c>
      <c r="F10" s="11">
        <v>638.19799999999998</v>
      </c>
      <c r="G10" s="14">
        <v>4200</v>
      </c>
      <c r="H10" s="11">
        <v>62.43</v>
      </c>
      <c r="I10" s="14">
        <v>1000</v>
      </c>
      <c r="J10" s="65">
        <f t="shared" si="0"/>
        <v>2742861.6</v>
      </c>
      <c r="K10" s="72">
        <v>4000</v>
      </c>
      <c r="L10" s="72">
        <f t="shared" si="1"/>
        <v>35739088</v>
      </c>
      <c r="M10" s="72">
        <v>4500</v>
      </c>
      <c r="N10" s="72">
        <f t="shared" si="2"/>
        <v>40206474</v>
      </c>
      <c r="O10" s="73">
        <f t="shared" si="3"/>
        <v>62430</v>
      </c>
      <c r="P10" s="68">
        <v>6</v>
      </c>
      <c r="Q10" s="52" t="s">
        <v>64</v>
      </c>
      <c r="R10" s="7" t="s">
        <v>70</v>
      </c>
      <c r="S10" s="7">
        <v>1</v>
      </c>
      <c r="T10" s="7">
        <v>8</v>
      </c>
      <c r="U10" s="55">
        <f>T10+T11+T12</f>
        <v>110</v>
      </c>
      <c r="V10" s="58">
        <v>7394.29</v>
      </c>
    </row>
    <row r="11" spans="1:22" x14ac:dyDescent="0.25">
      <c r="A11" s="9">
        <v>10</v>
      </c>
      <c r="B11" s="2" t="s">
        <v>0</v>
      </c>
      <c r="C11" s="2" t="s">
        <v>2</v>
      </c>
      <c r="D11" s="25">
        <v>0</v>
      </c>
      <c r="E11" s="13">
        <v>14</v>
      </c>
      <c r="F11" s="11">
        <v>638.19799999999998</v>
      </c>
      <c r="G11" s="14">
        <v>4200</v>
      </c>
      <c r="H11" s="11">
        <v>62.65</v>
      </c>
      <c r="I11" s="14">
        <v>1000</v>
      </c>
      <c r="J11" s="65">
        <f t="shared" si="0"/>
        <v>2743081.6</v>
      </c>
      <c r="K11" s="72">
        <v>4000</v>
      </c>
      <c r="L11" s="72">
        <f t="shared" si="1"/>
        <v>35739088</v>
      </c>
      <c r="M11" s="72">
        <v>4500</v>
      </c>
      <c r="N11" s="72">
        <f t="shared" si="2"/>
        <v>40206474</v>
      </c>
      <c r="O11" s="73">
        <f t="shared" si="3"/>
        <v>62650</v>
      </c>
      <c r="P11" s="70"/>
      <c r="Q11" s="54"/>
      <c r="R11" s="7" t="s">
        <v>68</v>
      </c>
      <c r="S11" s="7">
        <v>9</v>
      </c>
      <c r="T11" s="7">
        <v>72</v>
      </c>
      <c r="U11" s="57"/>
      <c r="V11" s="60"/>
    </row>
    <row r="12" spans="1:22" x14ac:dyDescent="0.25">
      <c r="A12" s="9">
        <v>11</v>
      </c>
      <c r="B12" s="2" t="s">
        <v>0</v>
      </c>
      <c r="C12" s="2" t="s">
        <v>6</v>
      </c>
      <c r="D12" s="26">
        <v>0</v>
      </c>
      <c r="E12" s="15">
        <v>2</v>
      </c>
      <c r="F12" s="11">
        <v>638.19799999999998</v>
      </c>
      <c r="G12" s="14">
        <v>4200</v>
      </c>
      <c r="H12" s="11">
        <v>605.58000000000004</v>
      </c>
      <c r="I12" s="14">
        <v>1000</v>
      </c>
      <c r="J12" s="65">
        <f t="shared" si="0"/>
        <v>3286011.6</v>
      </c>
      <c r="K12" s="72">
        <v>4000</v>
      </c>
      <c r="L12" s="72">
        <f t="shared" si="1"/>
        <v>5105584</v>
      </c>
      <c r="M12" s="72">
        <v>4500</v>
      </c>
      <c r="N12" s="72">
        <f t="shared" si="2"/>
        <v>5743782</v>
      </c>
      <c r="O12" s="73">
        <f t="shared" si="3"/>
        <v>605580</v>
      </c>
      <c r="P12" s="69"/>
      <c r="Q12" s="53"/>
      <c r="R12" s="7" t="s">
        <v>69</v>
      </c>
      <c r="S12" s="7">
        <v>4</v>
      </c>
      <c r="T12" s="7">
        <v>30</v>
      </c>
      <c r="U12" s="56"/>
      <c r="V12" s="59"/>
    </row>
    <row r="13" spans="1:22" x14ac:dyDescent="0.25">
      <c r="A13" s="9">
        <v>12</v>
      </c>
      <c r="B13" s="2" t="s">
        <v>0</v>
      </c>
      <c r="C13" s="3">
        <v>2</v>
      </c>
      <c r="D13" s="27">
        <v>0</v>
      </c>
      <c r="E13" s="14">
        <v>96</v>
      </c>
      <c r="F13" s="11">
        <v>605.04399999999998</v>
      </c>
      <c r="G13" s="14">
        <v>4200</v>
      </c>
      <c r="H13" s="10">
        <v>87.08</v>
      </c>
      <c r="I13" s="14">
        <v>1000</v>
      </c>
      <c r="J13" s="65">
        <f t="shared" si="0"/>
        <v>2628264.7999999998</v>
      </c>
      <c r="K13" s="72">
        <v>4000</v>
      </c>
      <c r="L13" s="72">
        <f t="shared" si="1"/>
        <v>232336896</v>
      </c>
      <c r="M13" s="72">
        <v>4500</v>
      </c>
      <c r="N13" s="72">
        <f t="shared" si="2"/>
        <v>261379008</v>
      </c>
      <c r="O13" s="73">
        <f t="shared" si="3"/>
        <v>87080</v>
      </c>
      <c r="P13" s="68">
        <v>7</v>
      </c>
      <c r="Q13" s="52" t="s">
        <v>65</v>
      </c>
      <c r="R13" s="7" t="s">
        <v>70</v>
      </c>
      <c r="S13" s="7">
        <v>1</v>
      </c>
      <c r="T13" s="7">
        <v>6</v>
      </c>
      <c r="U13" s="55">
        <f>T13+T14</f>
        <v>66</v>
      </c>
      <c r="V13" s="58">
        <v>4412.09</v>
      </c>
    </row>
    <row r="14" spans="1:22" x14ac:dyDescent="0.25">
      <c r="A14" s="9">
        <v>13</v>
      </c>
      <c r="B14" s="2" t="s">
        <v>0</v>
      </c>
      <c r="C14" s="2" t="s">
        <v>4</v>
      </c>
      <c r="D14" s="22">
        <v>0</v>
      </c>
      <c r="E14" s="13">
        <v>2</v>
      </c>
      <c r="F14" s="11">
        <v>605.04399999999998</v>
      </c>
      <c r="G14" s="14">
        <v>4200</v>
      </c>
      <c r="H14" s="10">
        <v>809.78</v>
      </c>
      <c r="I14" s="14">
        <v>1000</v>
      </c>
      <c r="J14" s="65">
        <f t="shared" si="0"/>
        <v>3350964.8</v>
      </c>
      <c r="K14" s="72">
        <v>4000</v>
      </c>
      <c r="L14" s="72">
        <f t="shared" si="1"/>
        <v>4840352</v>
      </c>
      <c r="M14" s="72">
        <v>4500</v>
      </c>
      <c r="N14" s="72">
        <f t="shared" si="2"/>
        <v>5445396</v>
      </c>
      <c r="O14" s="73">
        <f t="shared" si="3"/>
        <v>809780</v>
      </c>
      <c r="P14" s="69"/>
      <c r="Q14" s="53"/>
      <c r="R14" s="7" t="s">
        <v>71</v>
      </c>
      <c r="S14" s="7">
        <v>10</v>
      </c>
      <c r="T14" s="7">
        <v>60</v>
      </c>
      <c r="U14" s="56"/>
      <c r="V14" s="59"/>
    </row>
    <row r="15" spans="1:22" x14ac:dyDescent="0.25">
      <c r="A15" s="9">
        <v>14</v>
      </c>
      <c r="B15" s="2" t="s">
        <v>0</v>
      </c>
      <c r="C15" s="3">
        <v>4</v>
      </c>
      <c r="D15" s="23">
        <v>0</v>
      </c>
      <c r="E15" s="14">
        <v>28</v>
      </c>
      <c r="F15" s="11">
        <v>638.19799999999998</v>
      </c>
      <c r="G15" s="14">
        <v>4200</v>
      </c>
      <c r="H15" s="11">
        <v>82.24</v>
      </c>
      <c r="I15" s="14">
        <v>1000</v>
      </c>
      <c r="J15" s="14">
        <f t="shared" si="0"/>
        <v>2762671.6</v>
      </c>
      <c r="K15" s="72">
        <v>4000</v>
      </c>
      <c r="L15" s="72">
        <f t="shared" si="1"/>
        <v>71478176</v>
      </c>
      <c r="M15" s="72">
        <v>4501</v>
      </c>
      <c r="N15" s="72">
        <f t="shared" ref="N15" si="4">M15*F15*E15</f>
        <v>80430817.544</v>
      </c>
      <c r="O15" s="73">
        <f t="shared" ref="O15" si="5">I15*H15</f>
        <v>82240</v>
      </c>
      <c r="P15" s="67"/>
      <c r="Q15" s="7"/>
      <c r="R15" s="7"/>
      <c r="S15" s="7"/>
      <c r="T15" s="50">
        <f>SUM(T2:T14)</f>
        <v>704</v>
      </c>
      <c r="U15" s="50">
        <f>SUM(U2:U14)</f>
        <v>704</v>
      </c>
      <c r="V15" s="51">
        <f>SUM(V2:V14)</f>
        <v>51876.180000000008</v>
      </c>
    </row>
    <row r="16" spans="1:22" x14ac:dyDescent="0.25">
      <c r="A16" s="9"/>
      <c r="B16" s="7"/>
      <c r="C16" s="7"/>
      <c r="D16" s="75"/>
      <c r="E16" s="51">
        <f>SUM(E2:E15)</f>
        <v>704</v>
      </c>
      <c r="F16" s="51">
        <f>SUM(F2:F15)</f>
        <v>8081.3610000000017</v>
      </c>
      <c r="G16" s="72"/>
      <c r="H16" s="51">
        <f>SUM(H2:H15)</f>
        <v>3884.9299999999994</v>
      </c>
      <c r="I16" s="72"/>
      <c r="J16" s="72">
        <f>SUM(J2:J15)</f>
        <v>37826646.200000003</v>
      </c>
      <c r="K16" s="72"/>
      <c r="L16" s="74">
        <f>SUM(L2:L15)</f>
        <v>1689813756</v>
      </c>
      <c r="M16" s="72"/>
      <c r="N16" s="74">
        <f>SUM(N2:N15)</f>
        <v>1901058345.0439999</v>
      </c>
      <c r="O16" s="74">
        <f>SUM(O2:O15)</f>
        <v>3884930</v>
      </c>
    </row>
    <row r="17" spans="6:14" x14ac:dyDescent="0.25">
      <c r="H17" s="12">
        <f>H16+F16</f>
        <v>11966.291000000001</v>
      </c>
      <c r="J17" s="12">
        <f>J16/10^7</f>
        <v>3.7826646200000003</v>
      </c>
      <c r="N17" s="16">
        <f t="shared" si="2"/>
        <v>0</v>
      </c>
    </row>
    <row r="18" spans="6:14" x14ac:dyDescent="0.25">
      <c r="F18" s="12">
        <f>SUMPRODUCT(E2:E15,F2:F15)</f>
        <v>422453.43899999995</v>
      </c>
      <c r="N18" s="16">
        <f t="shared" si="2"/>
        <v>0</v>
      </c>
    </row>
    <row r="19" spans="6:14" x14ac:dyDescent="0.25">
      <c r="H19" s="12">
        <f>SUMPRODUCT(E2:E15,H2:H15)</f>
        <v>83062.94</v>
      </c>
      <c r="N19" s="16">
        <f t="shared" si="2"/>
        <v>0</v>
      </c>
    </row>
    <row r="20" spans="6:14" x14ac:dyDescent="0.25">
      <c r="H20" s="12">
        <f>H19+F18</f>
        <v>505516.37899999996</v>
      </c>
      <c r="N20" s="16">
        <f t="shared" si="2"/>
        <v>0</v>
      </c>
    </row>
  </sheetData>
  <mergeCells count="20">
    <mergeCell ref="V4:V5"/>
    <mergeCell ref="V6:V7"/>
    <mergeCell ref="V8:V9"/>
    <mergeCell ref="V10:V12"/>
    <mergeCell ref="V13:V14"/>
    <mergeCell ref="Q4:Q5"/>
    <mergeCell ref="Q6:Q7"/>
    <mergeCell ref="Q8:Q9"/>
    <mergeCell ref="Q13:Q14"/>
    <mergeCell ref="Q10:Q12"/>
    <mergeCell ref="U4:U5"/>
    <mergeCell ref="U6:U7"/>
    <mergeCell ref="U8:U9"/>
    <mergeCell ref="U10:U12"/>
    <mergeCell ref="U13:U14"/>
    <mergeCell ref="P4:P5"/>
    <mergeCell ref="P6:P7"/>
    <mergeCell ref="P8:P9"/>
    <mergeCell ref="P13:P14"/>
    <mergeCell ref="P10:P12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P73"/>
  <sheetViews>
    <sheetView tabSelected="1" topLeftCell="A29" workbookViewId="0">
      <selection activeCell="J48" sqref="J48"/>
    </sheetView>
  </sheetViews>
  <sheetFormatPr defaultRowHeight="15" x14ac:dyDescent="0.25"/>
  <cols>
    <col min="1" max="2" width="9.140625" style="32"/>
    <col min="3" max="3" width="46.42578125" style="32" bestFit="1" customWidth="1"/>
    <col min="4" max="4" width="10" style="32" bestFit="1" customWidth="1"/>
    <col min="5" max="5" width="10.7109375" style="32" bestFit="1" customWidth="1"/>
    <col min="6" max="6" width="11" style="32" bestFit="1" customWidth="1"/>
    <col min="7" max="7" width="11.5703125" style="32" bestFit="1" customWidth="1"/>
    <col min="8" max="8" width="10" style="32" bestFit="1" customWidth="1"/>
    <col min="9" max="9" width="15.28515625" style="32" bestFit="1" customWidth="1"/>
    <col min="10" max="11" width="9.140625" style="32"/>
    <col min="12" max="12" width="16.85546875" style="32" bestFit="1" customWidth="1"/>
    <col min="13" max="14" width="9.140625" style="32"/>
    <col min="15" max="15" width="15.28515625" style="32" bestFit="1" customWidth="1"/>
    <col min="16" max="16" width="15.28515625" style="62" bestFit="1" customWidth="1"/>
    <col min="17" max="16384" width="9.140625" style="32"/>
  </cols>
  <sheetData>
    <row r="2" spans="3:9" x14ac:dyDescent="0.25">
      <c r="C2" s="31" t="s">
        <v>22</v>
      </c>
      <c r="D2" s="31" t="s">
        <v>23</v>
      </c>
      <c r="E2" s="31" t="s">
        <v>24</v>
      </c>
      <c r="F2" s="31" t="s">
        <v>25</v>
      </c>
      <c r="G2" s="31" t="s">
        <v>26</v>
      </c>
    </row>
    <row r="3" spans="3:9" x14ac:dyDescent="0.25">
      <c r="C3" s="31">
        <v>40</v>
      </c>
      <c r="D3" s="31">
        <v>6</v>
      </c>
      <c r="E3" s="31"/>
      <c r="F3" s="31"/>
      <c r="G3" s="31"/>
    </row>
    <row r="4" spans="3:9" x14ac:dyDescent="0.25">
      <c r="C4" s="31"/>
      <c r="D4" s="31">
        <f>C3*20</f>
        <v>800</v>
      </c>
      <c r="E4" s="31"/>
      <c r="F4" s="31"/>
      <c r="G4" s="31"/>
    </row>
    <row r="5" spans="3:9" x14ac:dyDescent="0.25">
      <c r="C5" s="31"/>
      <c r="D5" s="31">
        <f>SUM(D3:D4)</f>
        <v>806</v>
      </c>
      <c r="E5" s="33">
        <f>D5/F5</f>
        <v>5.0374999999999996</v>
      </c>
      <c r="F5" s="31">
        <v>160</v>
      </c>
      <c r="G5" s="34">
        <f>E5*4047</f>
        <v>20386.762499999997</v>
      </c>
    </row>
    <row r="10" spans="3:9" x14ac:dyDescent="0.25">
      <c r="C10" s="31" t="s">
        <v>27</v>
      </c>
      <c r="D10" s="39">
        <v>5.0374999999999996</v>
      </c>
      <c r="E10" s="31" t="s">
        <v>35</v>
      </c>
      <c r="F10" s="40">
        <v>20386.0069</v>
      </c>
      <c r="G10" s="31" t="s">
        <v>36</v>
      </c>
      <c r="H10" s="62">
        <f>F10*1.196</f>
        <v>24381.664252399998</v>
      </c>
      <c r="I10" s="63">
        <f>36000*H10</f>
        <v>877739913.08639991</v>
      </c>
    </row>
    <row r="11" spans="3:9" x14ac:dyDescent="0.25">
      <c r="C11" s="31" t="s">
        <v>28</v>
      </c>
      <c r="D11" s="39">
        <v>0.40300000000000002</v>
      </c>
      <c r="E11" s="31" t="s">
        <v>35</v>
      </c>
      <c r="F11" s="40">
        <f>D11*4046.85</f>
        <v>1630.8805500000001</v>
      </c>
      <c r="G11" s="31" t="s">
        <v>36</v>
      </c>
    </row>
    <row r="12" spans="3:9" x14ac:dyDescent="0.25">
      <c r="C12" s="31" t="s">
        <v>29</v>
      </c>
      <c r="D12" s="39">
        <f>D10-D11</f>
        <v>4.6344999999999992</v>
      </c>
      <c r="E12" s="31" t="s">
        <v>35</v>
      </c>
      <c r="F12" s="40">
        <f>F10-F11</f>
        <v>18755.126349999999</v>
      </c>
      <c r="G12" s="31" t="s">
        <v>36</v>
      </c>
    </row>
    <row r="13" spans="3:9" x14ac:dyDescent="0.25">
      <c r="C13" s="31"/>
      <c r="D13" s="47" t="s">
        <v>56</v>
      </c>
      <c r="E13" s="47"/>
      <c r="F13" s="47" t="s">
        <v>57</v>
      </c>
      <c r="G13" s="31"/>
    </row>
    <row r="14" spans="3:9" x14ac:dyDescent="0.25">
      <c r="C14" s="31" t="s">
        <v>30</v>
      </c>
      <c r="D14" s="41">
        <f>D11</f>
        <v>0.40300000000000002</v>
      </c>
      <c r="E14" s="31" t="s">
        <v>35</v>
      </c>
      <c r="F14" s="40"/>
      <c r="G14" s="31"/>
    </row>
    <row r="15" spans="3:9" x14ac:dyDescent="0.25">
      <c r="C15" s="31"/>
      <c r="D15" s="40">
        <f>F11</f>
        <v>1630.8805500000001</v>
      </c>
      <c r="E15" s="31" t="s">
        <v>36</v>
      </c>
      <c r="F15" s="40"/>
      <c r="G15" s="31"/>
    </row>
    <row r="16" spans="3:9" x14ac:dyDescent="0.25">
      <c r="C16" s="31" t="s">
        <v>31</v>
      </c>
      <c r="D16" s="40">
        <v>1.75</v>
      </c>
      <c r="E16" s="31"/>
      <c r="F16" s="40">
        <v>1.788</v>
      </c>
      <c r="G16" s="31"/>
    </row>
    <row r="17" spans="3:9" x14ac:dyDescent="0.25">
      <c r="C17" s="31" t="s">
        <v>32</v>
      </c>
      <c r="D17" s="40">
        <v>195.70599999999999</v>
      </c>
      <c r="E17" s="31" t="s">
        <v>36</v>
      </c>
      <c r="F17" s="40">
        <v>2916.31</v>
      </c>
      <c r="G17" s="31" t="s">
        <v>36</v>
      </c>
    </row>
    <row r="18" spans="3:9" x14ac:dyDescent="0.25">
      <c r="C18" s="31" t="s">
        <v>33</v>
      </c>
      <c r="D18" s="40">
        <v>0.21</v>
      </c>
      <c r="E18" s="31" t="s">
        <v>36</v>
      </c>
      <c r="F18" s="40"/>
      <c r="G18" s="31"/>
    </row>
    <row r="19" spans="3:9" x14ac:dyDescent="0.25">
      <c r="C19" s="31" t="s">
        <v>34</v>
      </c>
      <c r="D19" s="40">
        <v>3049.7465999999999</v>
      </c>
      <c r="E19" s="31" t="s">
        <v>36</v>
      </c>
      <c r="F19" s="40"/>
      <c r="G19" s="31"/>
    </row>
    <row r="20" spans="3:9" x14ac:dyDescent="0.25">
      <c r="C20" s="31" t="s">
        <v>49</v>
      </c>
      <c r="D20" s="40"/>
      <c r="E20" s="31"/>
      <c r="F20" s="40">
        <v>1942.27</v>
      </c>
      <c r="G20" s="31" t="s">
        <v>36</v>
      </c>
      <c r="H20" s="38">
        <f>D19+D26</f>
        <v>47499.396000000001</v>
      </c>
    </row>
    <row r="21" spans="3:9" x14ac:dyDescent="0.25">
      <c r="C21" s="31" t="s">
        <v>40</v>
      </c>
      <c r="D21" s="40">
        <f>D12</f>
        <v>4.6344999999999992</v>
      </c>
      <c r="E21" s="31" t="s">
        <v>35</v>
      </c>
      <c r="F21" s="40"/>
      <c r="G21" s="31"/>
    </row>
    <row r="22" spans="3:9" x14ac:dyDescent="0.25">
      <c r="C22" s="31"/>
      <c r="D22" s="40">
        <v>18755.1263</v>
      </c>
      <c r="E22" s="31" t="s">
        <v>36</v>
      </c>
      <c r="F22" s="40"/>
      <c r="G22" s="31"/>
    </row>
    <row r="23" spans="3:9" x14ac:dyDescent="0.25">
      <c r="C23" s="31" t="s">
        <v>37</v>
      </c>
      <c r="D23" s="40">
        <v>2.25</v>
      </c>
      <c r="E23" s="31"/>
      <c r="F23" s="40">
        <v>2.3559999999999999</v>
      </c>
      <c r="G23" s="31"/>
    </row>
    <row r="24" spans="3:9" x14ac:dyDescent="0.25">
      <c r="C24" s="31" t="s">
        <v>38</v>
      </c>
      <c r="D24" s="40">
        <v>42199.034200000002</v>
      </c>
      <c r="E24" s="31" t="s">
        <v>36</v>
      </c>
      <c r="F24" s="40">
        <v>44189.5</v>
      </c>
      <c r="G24" s="31" t="s">
        <v>36</v>
      </c>
    </row>
    <row r="25" spans="3:9" x14ac:dyDescent="0.25">
      <c r="C25" s="31" t="s">
        <v>32</v>
      </c>
      <c r="D25" s="40">
        <v>2250.6152000000002</v>
      </c>
      <c r="E25" s="31" t="s">
        <v>36</v>
      </c>
      <c r="F25" s="40"/>
      <c r="G25" s="31"/>
    </row>
    <row r="26" spans="3:9" x14ac:dyDescent="0.25">
      <c r="C26" s="31" t="s">
        <v>39</v>
      </c>
      <c r="D26" s="40">
        <v>44449.649400000002</v>
      </c>
      <c r="E26" s="31" t="s">
        <v>36</v>
      </c>
      <c r="F26" s="40"/>
      <c r="G26" s="31"/>
    </row>
    <row r="27" spans="3:9" x14ac:dyDescent="0.25">
      <c r="C27" s="31" t="s">
        <v>50</v>
      </c>
      <c r="D27" s="40"/>
      <c r="E27" s="31"/>
      <c r="F27" s="40">
        <v>3745.5</v>
      </c>
      <c r="G27" s="31" t="s">
        <v>36</v>
      </c>
      <c r="H27" s="38">
        <f>F27+F20</f>
        <v>5687.77</v>
      </c>
      <c r="I27" s="46">
        <f>H27/F10</f>
        <v>0.27900363361497738</v>
      </c>
    </row>
    <row r="28" spans="3:9" ht="30" x14ac:dyDescent="0.25">
      <c r="C28" s="42" t="s">
        <v>41</v>
      </c>
      <c r="D28" s="40">
        <v>10193.0034</v>
      </c>
      <c r="E28" s="31" t="s">
        <v>36</v>
      </c>
      <c r="F28" s="40">
        <v>5876.62</v>
      </c>
      <c r="G28" s="31" t="s">
        <v>36</v>
      </c>
    </row>
    <row r="29" spans="3:9" x14ac:dyDescent="0.25">
      <c r="C29" s="31"/>
      <c r="D29" s="43">
        <v>0.5</v>
      </c>
      <c r="E29" s="31"/>
      <c r="F29" s="44">
        <v>0.28799999999999998</v>
      </c>
      <c r="G29" s="31"/>
    </row>
    <row r="30" spans="3:9" x14ac:dyDescent="0.25">
      <c r="C30" s="31" t="s">
        <v>42</v>
      </c>
      <c r="D30" s="31"/>
      <c r="E30" s="31"/>
      <c r="F30" s="40">
        <v>55294.37</v>
      </c>
      <c r="G30" s="31" t="s">
        <v>36</v>
      </c>
    </row>
    <row r="31" spans="3:9" x14ac:dyDescent="0.25">
      <c r="C31" s="31"/>
      <c r="D31" s="31"/>
      <c r="E31" s="31"/>
      <c r="F31" s="40"/>
      <c r="G31" s="31"/>
    </row>
    <row r="32" spans="3:9" x14ac:dyDescent="0.25">
      <c r="C32" s="31" t="s">
        <v>43</v>
      </c>
      <c r="D32" s="31"/>
      <c r="E32" s="31"/>
      <c r="F32" s="40">
        <v>704</v>
      </c>
      <c r="G32" s="31" t="s">
        <v>51</v>
      </c>
    </row>
    <row r="33" spans="3:16" x14ac:dyDescent="0.25">
      <c r="C33" s="31" t="s">
        <v>45</v>
      </c>
      <c r="D33" s="31" t="s">
        <v>46</v>
      </c>
      <c r="E33" s="31" t="s">
        <v>44</v>
      </c>
      <c r="F33" s="40">
        <v>759.52099999999996</v>
      </c>
      <c r="G33" s="31" t="s">
        <v>44</v>
      </c>
    </row>
    <row r="34" spans="3:16" x14ac:dyDescent="0.25">
      <c r="C34" s="31"/>
      <c r="D34" s="31"/>
      <c r="E34" s="31"/>
      <c r="F34" s="40"/>
      <c r="G34" s="31"/>
    </row>
    <row r="35" spans="3:16" x14ac:dyDescent="0.25">
      <c r="C35" s="31" t="s">
        <v>47</v>
      </c>
      <c r="D35" s="31" t="s">
        <v>48</v>
      </c>
      <c r="E35" s="31"/>
      <c r="F35" s="45">
        <v>0.1502</v>
      </c>
      <c r="G35" s="31"/>
    </row>
    <row r="36" spans="3:16" x14ac:dyDescent="0.25">
      <c r="C36" s="31"/>
      <c r="D36" s="40">
        <v>3057.9009999999998</v>
      </c>
      <c r="E36" s="31" t="s">
        <v>36</v>
      </c>
      <c r="F36" s="40">
        <v>3062.02</v>
      </c>
      <c r="G36" s="31" t="s">
        <v>36</v>
      </c>
    </row>
    <row r="37" spans="3:16" x14ac:dyDescent="0.25">
      <c r="F37" s="36"/>
    </row>
    <row r="38" spans="3:16" x14ac:dyDescent="0.25">
      <c r="F38" s="36"/>
    </row>
    <row r="40" spans="3:16" x14ac:dyDescent="0.25">
      <c r="C40" s="32" t="s">
        <v>52</v>
      </c>
    </row>
    <row r="41" spans="3:16" x14ac:dyDescent="0.25">
      <c r="D41" s="36">
        <v>3729.72</v>
      </c>
    </row>
    <row r="42" spans="3:16" x14ac:dyDescent="0.25">
      <c r="D42" s="36">
        <v>1942.27</v>
      </c>
    </row>
    <row r="43" spans="3:16" x14ac:dyDescent="0.25">
      <c r="D43" s="36">
        <f>D42+D41</f>
        <v>5671.99</v>
      </c>
      <c r="E43" s="46">
        <f>D43/F10</f>
        <v>0.27822957324712766</v>
      </c>
    </row>
    <row r="45" spans="3:16" x14ac:dyDescent="0.25">
      <c r="C45" s="32" t="s">
        <v>53</v>
      </c>
    </row>
    <row r="46" spans="3:16" x14ac:dyDescent="0.25">
      <c r="C46" s="32" t="s">
        <v>54</v>
      </c>
      <c r="D46" s="36">
        <f>51876.18-44189.5</f>
        <v>7686.68</v>
      </c>
      <c r="F46" s="36">
        <v>44189.5</v>
      </c>
      <c r="G46" s="62">
        <f>F46*10.764</f>
        <v>475655.77799999999</v>
      </c>
      <c r="H46" s="32">
        <v>1800</v>
      </c>
      <c r="I46" s="63">
        <f>H46*G46</f>
        <v>856180400.39999998</v>
      </c>
    </row>
    <row r="47" spans="3:16" x14ac:dyDescent="0.25">
      <c r="C47" s="32" t="s">
        <v>55</v>
      </c>
      <c r="D47" s="36">
        <f>3418.19-2916.31</f>
        <v>501.88000000000011</v>
      </c>
      <c r="E47" s="32">
        <v>2916.31</v>
      </c>
      <c r="F47" s="36">
        <v>7686.68</v>
      </c>
      <c r="G47" s="62">
        <f t="shared" ref="G47" si="0">F47*10.764</f>
        <v>82739.423519999997</v>
      </c>
      <c r="H47" s="32">
        <v>1500</v>
      </c>
      <c r="I47" s="63">
        <f t="shared" ref="I47" si="1">H47*G47</f>
        <v>124109135.28</v>
      </c>
      <c r="N47" s="32" t="s">
        <v>79</v>
      </c>
      <c r="O47" s="63">
        <f>I10</f>
        <v>877739913.08639991</v>
      </c>
      <c r="P47" s="62">
        <v>550000000</v>
      </c>
    </row>
    <row r="48" spans="3:16" x14ac:dyDescent="0.25">
      <c r="D48" s="38">
        <f>SUM(D46:D47)</f>
        <v>8188.56</v>
      </c>
      <c r="F48" s="38">
        <f>SUM(F46:F47)</f>
        <v>51876.18</v>
      </c>
      <c r="I48" s="63">
        <f>SUM(I46:I47)</f>
        <v>980289535.67999995</v>
      </c>
      <c r="K48" s="32">
        <v>1300</v>
      </c>
      <c r="L48" s="38">
        <f>K48*F48*10.764</f>
        <v>725913761.97599995</v>
      </c>
      <c r="N48" s="32" t="s">
        <v>80</v>
      </c>
      <c r="O48" s="38">
        <f>L48</f>
        <v>725913761.97599995</v>
      </c>
      <c r="P48" s="62">
        <f>I48</f>
        <v>980289535.67999995</v>
      </c>
    </row>
    <row r="49" spans="3:16" x14ac:dyDescent="0.25">
      <c r="F49" s="32">
        <f>134.571*10^7</f>
        <v>1345710000</v>
      </c>
      <c r="G49" s="38">
        <f>F49/F48</f>
        <v>25940.807515125438</v>
      </c>
      <c r="L49" s="63">
        <f>L48+I48</f>
        <v>1706203297.6559999</v>
      </c>
      <c r="O49" s="63">
        <f>SUM(O47:O48)</f>
        <v>1603653675.0623999</v>
      </c>
      <c r="P49" s="62">
        <f>SUM(P47:P48)</f>
        <v>1530289535.6799998</v>
      </c>
    </row>
    <row r="50" spans="3:16" x14ac:dyDescent="0.25">
      <c r="D50" s="36">
        <v>44189.5</v>
      </c>
      <c r="G50" s="38">
        <f>G49/10.764</f>
        <v>2409.9598211747898</v>
      </c>
      <c r="P50" s="62">
        <v>153</v>
      </c>
    </row>
    <row r="51" spans="3:16" x14ac:dyDescent="0.25">
      <c r="D51" s="36">
        <v>2916.31</v>
      </c>
      <c r="P51" s="62">
        <f>P50*0.85</f>
        <v>130.04999999999998</v>
      </c>
    </row>
    <row r="52" spans="3:16" x14ac:dyDescent="0.25">
      <c r="D52" s="38">
        <f>SUM(D50:D51)</f>
        <v>47105.81</v>
      </c>
      <c r="G52" s="38">
        <f>D55</f>
        <v>51876.18</v>
      </c>
      <c r="P52" s="62">
        <f>P50*0.75</f>
        <v>114.75</v>
      </c>
    </row>
    <row r="53" spans="3:16" x14ac:dyDescent="0.25">
      <c r="G53" s="32">
        <f>1898.3+1086.49</f>
        <v>2984.79</v>
      </c>
    </row>
    <row r="54" spans="3:16" x14ac:dyDescent="0.25">
      <c r="G54" s="32">
        <v>204.63</v>
      </c>
    </row>
    <row r="55" spans="3:16" x14ac:dyDescent="0.25">
      <c r="D55" s="36">
        <v>51876.18</v>
      </c>
      <c r="G55" s="32">
        <v>228.77</v>
      </c>
    </row>
    <row r="56" spans="3:16" x14ac:dyDescent="0.25">
      <c r="D56" s="36">
        <v>3418.19</v>
      </c>
      <c r="G56" s="38">
        <f>SUM(G52:G55)</f>
        <v>55294.369999999995</v>
      </c>
    </row>
    <row r="57" spans="3:16" x14ac:dyDescent="0.25">
      <c r="D57" s="36">
        <f>SUM(D55:D56)</f>
        <v>55294.37</v>
      </c>
    </row>
    <row r="62" spans="3:16" x14ac:dyDescent="0.25">
      <c r="D62" s="32">
        <f>SUM(D63:D66)</f>
        <v>39</v>
      </c>
      <c r="E62" s="32">
        <f>SUM(E63:E66)</f>
        <v>26</v>
      </c>
    </row>
    <row r="63" spans="3:16" x14ac:dyDescent="0.25">
      <c r="C63" s="32">
        <f>44/14</f>
        <v>3.1428571428571428</v>
      </c>
      <c r="D63" s="32">
        <v>18</v>
      </c>
      <c r="E63" s="32">
        <v>12</v>
      </c>
      <c r="F63" s="32">
        <f>D63*20</f>
        <v>360</v>
      </c>
      <c r="G63" s="32">
        <f>F63+E63</f>
        <v>372</v>
      </c>
      <c r="H63" s="35">
        <f>G63/$F$5</f>
        <v>2.3250000000000002</v>
      </c>
    </row>
    <row r="64" spans="3:16" x14ac:dyDescent="0.25">
      <c r="C64" s="32">
        <f>C63*3.28</f>
        <v>10.308571428571428</v>
      </c>
      <c r="D64" s="32">
        <v>16</v>
      </c>
      <c r="E64" s="32">
        <v>11</v>
      </c>
      <c r="F64" s="32">
        <f t="shared" ref="F64:F65" si="2">D64*20</f>
        <v>320</v>
      </c>
      <c r="G64" s="32">
        <f t="shared" ref="G64:G65" si="3">F64+E64</f>
        <v>331</v>
      </c>
      <c r="H64" s="35">
        <f t="shared" ref="H64:H65" si="4">G64/$F$5</f>
        <v>2.0687500000000001</v>
      </c>
    </row>
    <row r="65" spans="4:8" x14ac:dyDescent="0.25">
      <c r="D65" s="32">
        <v>5</v>
      </c>
      <c r="E65" s="32">
        <v>3</v>
      </c>
      <c r="F65" s="32">
        <f t="shared" si="2"/>
        <v>100</v>
      </c>
      <c r="G65" s="32">
        <f t="shared" si="3"/>
        <v>103</v>
      </c>
      <c r="H65" s="35">
        <f t="shared" si="4"/>
        <v>0.64375000000000004</v>
      </c>
    </row>
    <row r="66" spans="4:8" x14ac:dyDescent="0.25">
      <c r="H66" s="37">
        <f>SUM(H63:H65)</f>
        <v>5.0375000000000005</v>
      </c>
    </row>
    <row r="69" spans="4:8" x14ac:dyDescent="0.25">
      <c r="H69" s="32">
        <f>24*3.28</f>
        <v>78.72</v>
      </c>
    </row>
    <row r="73" spans="4:8" x14ac:dyDescent="0.25">
      <c r="D73" s="32" t="s">
        <v>74</v>
      </c>
      <c r="E73" s="32">
        <v>25000</v>
      </c>
      <c r="F73" s="32" t="s">
        <v>73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"/>
  <sheetViews>
    <sheetView workbookViewId="0">
      <selection activeCell="B2" sqref="B2"/>
    </sheetView>
  </sheetViews>
  <sheetFormatPr defaultRowHeight="15" x14ac:dyDescent="0.25"/>
  <sheetData>
    <row r="2" spans="2:2" x14ac:dyDescent="0.25">
      <c r="B2" s="6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Pivot</vt:lpstr>
      <vt:lpstr>Inventory</vt:lpstr>
      <vt:lpstr>Area Details</vt:lpstr>
      <vt:lpstr>Online Available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Adil Afaque</cp:lastModifiedBy>
  <dcterms:created xsi:type="dcterms:W3CDTF">2022-11-17T08:06:05Z</dcterms:created>
  <dcterms:modified xsi:type="dcterms:W3CDTF">2022-11-17T15:12:18Z</dcterms:modified>
</cp:coreProperties>
</file>