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Y:\In Progress Files\Arun Tomar\- - - IN PROGRESS (2022 - 2023) - - -\VIS(2022-23)-PL405-317-587 - Ms Analinear Design Technologies Pvt. Ltd\"/>
    </mc:Choice>
  </mc:AlternateContent>
  <bookViews>
    <workbookView showVerticalScroll="0" xWindow="0" yWindow="0" windowWidth="24000" windowHeight="9735"/>
  </bookViews>
  <sheets>
    <sheet name="New (Land+Building) Valuation" sheetId="3" r:id="rId1"/>
    <sheet name="Building" sheetId="5" r:id="rId2"/>
    <sheet name="Wall" sheetId="4" r:id="rId3"/>
    <sheet name="Docs" sheetId="6" r:id="rId4"/>
  </sheets>
  <definedNames>
    <definedName name="_xlnm.Print_Area" localSheetId="2">Wall!#REF!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2" i="3" l="1"/>
  <c r="D20" i="3"/>
  <c r="H2" i="3" l="1"/>
  <c r="H3" i="3"/>
  <c r="B4" i="4" l="1"/>
  <c r="C3" i="3" l="1"/>
  <c r="D14" i="3"/>
  <c r="D23" i="3" l="1"/>
  <c r="D6" i="5"/>
  <c r="D5" i="5"/>
  <c r="D4" i="5"/>
  <c r="D7" i="5" l="1"/>
  <c r="L6" i="5"/>
  <c r="K6" i="5"/>
  <c r="L5" i="5"/>
  <c r="K5" i="5"/>
  <c r="L4" i="5"/>
  <c r="K4" i="5"/>
  <c r="M5" i="5" l="1"/>
  <c r="N5" i="5" s="1"/>
  <c r="O5" i="5" s="1"/>
  <c r="P5" i="5" s="1"/>
  <c r="M4" i="5"/>
  <c r="N4" i="5" s="1"/>
  <c r="O4" i="5" s="1"/>
  <c r="M6" i="5"/>
  <c r="N6" i="5" s="1"/>
  <c r="O6" i="5" s="1"/>
  <c r="P6" i="5" s="1"/>
  <c r="O7" i="5" l="1"/>
  <c r="P4" i="5"/>
  <c r="P7" i="5" s="1"/>
  <c r="H9" i="3" s="1"/>
  <c r="E10" i="3" l="1"/>
  <c r="I7" i="4" l="1"/>
  <c r="J4" i="4" l="1"/>
  <c r="H4" i="4"/>
  <c r="E4" i="4"/>
  <c r="E11" i="3"/>
  <c r="E3" i="3"/>
  <c r="C8" i="3" l="1"/>
  <c r="H8" i="3"/>
  <c r="K4" i="4"/>
  <c r="L4" i="4" s="1"/>
  <c r="N4" i="4" s="1"/>
  <c r="H10" i="3" s="1"/>
  <c r="D8" i="3" l="1"/>
  <c r="E8" i="3" s="1"/>
  <c r="H11" i="3"/>
</calcChain>
</file>

<file path=xl/sharedStrings.xml><?xml version="1.0" encoding="utf-8"?>
<sst xmlns="http://schemas.openxmlformats.org/spreadsheetml/2006/main" count="83" uniqueCount="73">
  <si>
    <t>Year of Construction</t>
  </si>
  <si>
    <t xml:space="preserve">Year of Valuation </t>
  </si>
  <si>
    <t>Salvage value</t>
  </si>
  <si>
    <t>TOTAL</t>
  </si>
  <si>
    <t>Depreciation Rate</t>
  </si>
  <si>
    <t xml:space="preserve">Depreciation
(INR) </t>
  </si>
  <si>
    <t>Depreciated Value
(INR)</t>
  </si>
  <si>
    <t>Depreciated Replacement Market Value
(INR)</t>
  </si>
  <si>
    <t>Gross Replacement Value
(INR)</t>
  </si>
  <si>
    <t>Discounting Factor</t>
  </si>
  <si>
    <r>
      <t xml:space="preserve">Total Life Consumed 
</t>
    </r>
    <r>
      <rPr>
        <b/>
        <i/>
        <sz val="10"/>
        <rFont val="Calibri"/>
        <family val="2"/>
        <scheme val="minor"/>
      </rPr>
      <t>(in years)</t>
    </r>
  </si>
  <si>
    <r>
      <t xml:space="preserve">Total Economical Life
</t>
    </r>
    <r>
      <rPr>
        <b/>
        <i/>
        <sz val="10"/>
        <rFont val="Calibri"/>
        <family val="2"/>
        <scheme val="minor"/>
      </rPr>
      <t>(in years)</t>
    </r>
  </si>
  <si>
    <t>Unit</t>
  </si>
  <si>
    <t>Rates</t>
  </si>
  <si>
    <t>Value</t>
  </si>
  <si>
    <t xml:space="preserve">Land </t>
  </si>
  <si>
    <t>Building</t>
  </si>
  <si>
    <t>Total</t>
  </si>
  <si>
    <t>FMV</t>
  </si>
  <si>
    <t>PL-116</t>
  </si>
  <si>
    <t>Boundary wall valuation</t>
  </si>
  <si>
    <r>
      <t xml:space="preserve">Plinth Area  Rate 
</t>
    </r>
    <r>
      <rPr>
        <b/>
        <i/>
        <sz val="10"/>
        <rFont val="Calibri"/>
        <family val="2"/>
        <scheme val="minor"/>
      </rPr>
      <t>(in per running ft.)</t>
    </r>
  </si>
  <si>
    <t>Building + Wall</t>
  </si>
  <si>
    <r>
      <t xml:space="preserve">Wall
</t>
    </r>
    <r>
      <rPr>
        <b/>
        <i/>
        <sz val="10"/>
        <rFont val="Calibri"/>
        <family val="2"/>
        <scheme val="minor"/>
      </rPr>
      <t>(in Running ft.)</t>
    </r>
  </si>
  <si>
    <t>DV @ 25% Less</t>
  </si>
  <si>
    <t>Sr.No.</t>
  </si>
  <si>
    <t xml:space="preserve">Floor </t>
  </si>
  <si>
    <t xml:space="preserve">Type of Structure </t>
  </si>
  <si>
    <t xml:space="preserve">Rate Adopted </t>
  </si>
  <si>
    <t xml:space="preserve">Salvage Value </t>
  </si>
  <si>
    <t>Economical Life</t>
  </si>
  <si>
    <t xml:space="preserve">Life used </t>
  </si>
  <si>
    <t>Valuation Date</t>
  </si>
  <si>
    <t>Life consumed</t>
  </si>
  <si>
    <t xml:space="preserve">Depreciation factor </t>
  </si>
  <si>
    <t>Depreciation</t>
  </si>
  <si>
    <t>Rate adopted</t>
  </si>
  <si>
    <t>GCRC</t>
  </si>
  <si>
    <t>F.M.V</t>
  </si>
  <si>
    <t>Physical Obselence</t>
  </si>
  <si>
    <t>Ground floor</t>
  </si>
  <si>
    <t>R.C.C</t>
  </si>
  <si>
    <t xml:space="preserve">First floor </t>
  </si>
  <si>
    <t xml:space="preserve">Second floor </t>
  </si>
  <si>
    <t>RV @ 15% Less</t>
  </si>
  <si>
    <t>Wall</t>
  </si>
  <si>
    <t>Remarks:</t>
  </si>
  <si>
    <t>4. The valuation is done by considering the depreciated replacement cost approach.</t>
  </si>
  <si>
    <t>3. Age of the building has been taken as per information gathered at site, since no relevent document was provided to us upon our request.</t>
  </si>
  <si>
    <t>Area
(in sq.ft.)</t>
  </si>
  <si>
    <t>Land</t>
  </si>
  <si>
    <t>Area in
(Sq.mtr.)</t>
  </si>
  <si>
    <t>Land Rate</t>
  </si>
  <si>
    <t>Land Area</t>
  </si>
  <si>
    <t>Building Shed Area</t>
  </si>
  <si>
    <t>Building RCC Area</t>
  </si>
  <si>
    <t>Total building Area</t>
  </si>
  <si>
    <t>Shed Rate</t>
  </si>
  <si>
    <t>RCC Rate</t>
  </si>
  <si>
    <t>Area in Sqmtr.</t>
  </si>
  <si>
    <t>Standard Building Rate</t>
  </si>
  <si>
    <t>Sq.mtr.</t>
  </si>
  <si>
    <t>Rs Per Sq.mtr.</t>
  </si>
  <si>
    <t>Particulars</t>
  </si>
  <si>
    <t>Figures</t>
  </si>
  <si>
    <t>% Difference</t>
  </si>
  <si>
    <r>
      <t xml:space="preserve">2. All the structure that has been taken in the area statemnet belonging to </t>
    </r>
    <r>
      <rPr>
        <b/>
        <sz val="11"/>
        <color theme="1"/>
        <rFont val="Calibri"/>
        <family val="2"/>
        <scheme val="minor"/>
      </rPr>
      <t>Ms Analinear Design Technologies Pvt. Ltd.</t>
    </r>
  </si>
  <si>
    <t>BUILDING VALUATION OF MS ANALINEAR DESIGN TECHNOLOGIES PVT. LTD| SECTOR 41, NOIDA</t>
  </si>
  <si>
    <t>28°33'43.7"N 77°21'50.6"E</t>
  </si>
  <si>
    <t>COMPARABLES LINK</t>
  </si>
  <si>
    <r>
      <t xml:space="preserve">Land Rate Calculation </t>
    </r>
    <r>
      <rPr>
        <b/>
        <sz val="7"/>
        <color theme="1"/>
        <rFont val="Calibri"/>
        <family val="2"/>
        <scheme val="minor"/>
      </rPr>
      <t>(in Rs. Per Sqmtr.)</t>
    </r>
  </si>
  <si>
    <t>Considered</t>
  </si>
  <si>
    <r>
      <t xml:space="preserve">1. All the details pertaing to the building area statement such as area, floor, etc has been taken from the site survey only since </t>
    </r>
    <r>
      <rPr>
        <b/>
        <i/>
        <sz val="11"/>
        <rFont val="Calibri"/>
        <family val="2"/>
        <scheme val="minor"/>
      </rPr>
      <t>no building plan was provided to us upon our request..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</si>
</sst>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 &quot;₹&quot;\ * #,##0.00_ ;_ &quot;₹&quot;\ * \-#,##0.00_ ;_ &quot;₹&quot;\ * &quot;-&quot;??_ ;_ @_ "/>
    <numFmt numFmtId="43" formatCode="_ * #,##0.00_ ;_ * \-#,##0.00_ ;_ * &quot;-&quot;??_ ;_ @_ "/>
    <numFmt numFmtId="164" formatCode="_ * #,##0_ ;_ * \-#,##0_ ;_ * &quot;-&quot;??_ ;_ @_ "/>
    <numFmt numFmtId="165" formatCode="0.0000"/>
    <numFmt numFmtId="166" formatCode="_ &quot;₹&quot;\ * #,##0_ ;_ &quot;₹&quot;\ * \-#,##0_ ;_ &quot;₹&quot;\ * &quot;-&quot;??_ ;_ @_ "/>
    <numFmt numFmtId="167" formatCode="0.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7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1E366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61">
    <xf numFmtId="0" fontId="0" fillId="0" borderId="0" xfId="0"/>
    <xf numFmtId="44" fontId="0" fillId="0" borderId="0" xfId="0" applyNumberFormat="1"/>
    <xf numFmtId="166" fontId="0" fillId="0" borderId="1" xfId="1" applyNumberFormat="1" applyFont="1" applyBorder="1" applyAlignment="1">
      <alignment horizontal="center" vertical="center"/>
    </xf>
    <xf numFmtId="166" fontId="0" fillId="0" borderId="0" xfId="0" applyNumberFormat="1"/>
    <xf numFmtId="0" fontId="0" fillId="0" borderId="0" xfId="0" applyAlignment="1">
      <alignment wrapText="1"/>
    </xf>
    <xf numFmtId="0" fontId="7" fillId="0" borderId="1" xfId="0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66" fontId="9" fillId="0" borderId="1" xfId="1" applyNumberFormat="1" applyFont="1" applyBorder="1" applyAlignment="1">
      <alignment horizontal="center" vertical="center"/>
    </xf>
    <xf numFmtId="0" fontId="0" fillId="0" borderId="0" xfId="0"/>
    <xf numFmtId="9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9" fontId="0" fillId="0" borderId="1" xfId="2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43" fontId="0" fillId="0" borderId="1" xfId="3" applyFont="1" applyBorder="1" applyAlignment="1">
      <alignment horizontal="center"/>
    </xf>
    <xf numFmtId="9" fontId="0" fillId="0" borderId="1" xfId="0" applyNumberFormat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43" fontId="2" fillId="0" borderId="1" xfId="3" applyFont="1" applyBorder="1" applyAlignment="1">
      <alignment horizontal="center"/>
    </xf>
    <xf numFmtId="0" fontId="6" fillId="5" borderId="1" xfId="0" applyFont="1" applyFill="1" applyBorder="1"/>
    <xf numFmtId="10" fontId="0" fillId="0" borderId="1" xfId="0" applyNumberFormat="1" applyBorder="1" applyAlignment="1">
      <alignment horizontal="center"/>
    </xf>
    <xf numFmtId="2" fontId="7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 wrapText="1"/>
    </xf>
    <xf numFmtId="164" fontId="0" fillId="0" borderId="1" xfId="3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7" fontId="0" fillId="0" borderId="1" xfId="0" applyNumberFormat="1" applyBorder="1" applyAlignment="1">
      <alignment horizontal="center"/>
    </xf>
    <xf numFmtId="0" fontId="0" fillId="0" borderId="1" xfId="0" applyBorder="1"/>
    <xf numFmtId="43" fontId="0" fillId="0" borderId="1" xfId="0" applyNumberFormat="1" applyBorder="1"/>
    <xf numFmtId="0" fontId="6" fillId="5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66" fontId="0" fillId="0" borderId="1" xfId="1" quotePrefix="1" applyNumberFormat="1" applyFont="1" applyBorder="1"/>
    <xf numFmtId="166" fontId="10" fillId="0" borderId="1" xfId="1" applyNumberFormat="1" applyFont="1" applyBorder="1"/>
    <xf numFmtId="166" fontId="7" fillId="0" borderId="1" xfId="1" applyNumberFormat="1" applyFont="1" applyBorder="1"/>
    <xf numFmtId="0" fontId="13" fillId="5" borderId="1" xfId="0" applyFont="1" applyFill="1" applyBorder="1"/>
    <xf numFmtId="0" fontId="2" fillId="0" borderId="1" xfId="0" applyFont="1" applyBorder="1" applyAlignment="1">
      <alignment horizontal="center" vertical="center" wrapText="1"/>
    </xf>
    <xf numFmtId="0" fontId="14" fillId="0" borderId="1" xfId="8" applyBorder="1" applyAlignment="1">
      <alignment horizontal="center" vertical="center"/>
    </xf>
    <xf numFmtId="44" fontId="2" fillId="0" borderId="1" xfId="1" applyFont="1" applyBorder="1" applyAlignment="1">
      <alignment horizontal="center" vertical="center"/>
    </xf>
    <xf numFmtId="44" fontId="0" fillId="0" borderId="1" xfId="0" applyNumberFormat="1" applyBorder="1" applyAlignment="1">
      <alignment horizontal="center" vertical="center"/>
    </xf>
    <xf numFmtId="166" fontId="7" fillId="0" borderId="2" xfId="1" applyNumberFormat="1" applyFont="1" applyBorder="1" applyAlignment="1">
      <alignment horizontal="center" vertical="center"/>
    </xf>
    <xf numFmtId="166" fontId="7" fillId="0" borderId="4" xfId="1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10" fontId="10" fillId="0" borderId="2" xfId="0" applyNumberFormat="1" applyFont="1" applyBorder="1" applyAlignment="1">
      <alignment horizontal="center" vertical="center" wrapText="1"/>
    </xf>
    <xf numFmtId="10" fontId="10" fillId="0" borderId="4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/>
    </xf>
    <xf numFmtId="0" fontId="3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</cellXfs>
  <cellStyles count="9">
    <cellStyle name="Comma" xfId="3" builtinId="3"/>
    <cellStyle name="Comma 2" xfId="5"/>
    <cellStyle name="Comma 3" xfId="7"/>
    <cellStyle name="Currency" xfId="1" builtinId="4"/>
    <cellStyle name="Currency 2" xfId="4"/>
    <cellStyle name="Currency 3" xfId="6"/>
    <cellStyle name="Hyperlink" xfId="8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1E36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92075</xdr:colOff>
      <xdr:row>17</xdr:row>
      <xdr:rowOff>25400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0"/>
          <a:ext cx="3749675" cy="32639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16</xdr:col>
      <xdr:colOff>439420</xdr:colOff>
      <xdr:row>41</xdr:row>
      <xdr:rowOff>29210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67200" y="0"/>
          <a:ext cx="5925820" cy="783971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Comparabl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2:I23"/>
  <sheetViews>
    <sheetView tabSelected="1" topLeftCell="B10" zoomScale="130" zoomScaleNormal="130" workbookViewId="0">
      <selection activeCell="D22" sqref="D22:E22"/>
    </sheetView>
  </sheetViews>
  <sheetFormatPr defaultRowHeight="15" x14ac:dyDescent="0.25"/>
  <cols>
    <col min="1" max="1" width="9.140625" style="10"/>
    <col min="2" max="2" width="13.7109375" style="10" bestFit="1" customWidth="1"/>
    <col min="3" max="3" width="24.5703125" style="10" bestFit="1" customWidth="1"/>
    <col min="4" max="4" width="20.5703125" style="10" bestFit="1" customWidth="1"/>
    <col min="5" max="5" width="20" style="10" bestFit="1" customWidth="1"/>
    <col min="6" max="6" width="32" style="10" bestFit="1" customWidth="1"/>
    <col min="7" max="7" width="11.28515625" style="10" bestFit="1" customWidth="1"/>
    <col min="8" max="8" width="20" style="10" bestFit="1" customWidth="1"/>
    <col min="9" max="9" width="18.85546875" style="10" bestFit="1" customWidth="1"/>
    <col min="10" max="10" width="19.140625" style="10" bestFit="1" customWidth="1"/>
    <col min="11" max="11" width="23.140625" style="10" bestFit="1" customWidth="1"/>
    <col min="12" max="12" width="12.28515625" style="10" bestFit="1" customWidth="1"/>
    <col min="13" max="13" width="10.42578125" style="10" bestFit="1" customWidth="1"/>
    <col min="14" max="16384" width="9.140625" style="10"/>
  </cols>
  <sheetData>
    <row r="2" spans="2:9" ht="48" x14ac:dyDescent="0.25">
      <c r="C2" s="6" t="s">
        <v>51</v>
      </c>
      <c r="D2" s="7" t="s">
        <v>13</v>
      </c>
      <c r="E2" s="7" t="s">
        <v>14</v>
      </c>
      <c r="G2" s="43" t="s">
        <v>70</v>
      </c>
      <c r="H2" s="45">
        <f>(28000000-H9-H10)/C3</f>
        <v>135588.26734530742</v>
      </c>
      <c r="I2" s="44" t="s">
        <v>69</v>
      </c>
    </row>
    <row r="3" spans="2:9" ht="21" x14ac:dyDescent="0.35">
      <c r="C3" s="27">
        <f>B5</f>
        <v>175.14</v>
      </c>
      <c r="D3" s="41">
        <v>127000</v>
      </c>
      <c r="E3" s="40">
        <f>C3*D3</f>
        <v>22242780</v>
      </c>
      <c r="G3" s="28" t="s">
        <v>71</v>
      </c>
      <c r="H3" s="46">
        <f>H2*0.95</f>
        <v>128808.85397804204</v>
      </c>
    </row>
    <row r="4" spans="2:9" x14ac:dyDescent="0.25">
      <c r="B4" s="28" t="s">
        <v>59</v>
      </c>
      <c r="C4" s="35" t="s">
        <v>68</v>
      </c>
    </row>
    <row r="5" spans="2:9" x14ac:dyDescent="0.25">
      <c r="B5" s="28">
        <v>175.14</v>
      </c>
    </row>
    <row r="7" spans="2:9" ht="21" x14ac:dyDescent="0.25">
      <c r="C7" s="6" t="s">
        <v>15</v>
      </c>
      <c r="D7" s="7" t="s">
        <v>22</v>
      </c>
      <c r="E7" s="7" t="s">
        <v>17</v>
      </c>
    </row>
    <row r="8" spans="2:9" ht="21" x14ac:dyDescent="0.35">
      <c r="C8" s="41">
        <f>E3</f>
        <v>22242780</v>
      </c>
      <c r="D8" s="41">
        <f>H9+H10</f>
        <v>4253070.8571428573</v>
      </c>
      <c r="E8" s="41">
        <f>C8+D8</f>
        <v>26495850.857142858</v>
      </c>
      <c r="G8" s="42" t="s">
        <v>50</v>
      </c>
      <c r="H8" s="41">
        <f>E3</f>
        <v>22242780</v>
      </c>
    </row>
    <row r="9" spans="2:9" ht="21" x14ac:dyDescent="0.35">
      <c r="C9" s="49" t="s">
        <v>19</v>
      </c>
      <c r="D9" s="5" t="s">
        <v>18</v>
      </c>
      <c r="E9" s="40">
        <v>26500000</v>
      </c>
      <c r="F9" s="8"/>
      <c r="G9" s="42" t="s">
        <v>16</v>
      </c>
      <c r="H9" s="41">
        <f>Building!P7</f>
        <v>4012578</v>
      </c>
    </row>
    <row r="10" spans="2:9" ht="21" x14ac:dyDescent="0.35">
      <c r="C10" s="50"/>
      <c r="D10" s="18" t="s">
        <v>44</v>
      </c>
      <c r="E10" s="40">
        <f>E9*0.85</f>
        <v>22525000</v>
      </c>
      <c r="F10" s="8"/>
      <c r="G10" s="42" t="s">
        <v>45</v>
      </c>
      <c r="H10" s="41">
        <f>Wall!N4</f>
        <v>240492.85714285716</v>
      </c>
    </row>
    <row r="11" spans="2:9" ht="21" x14ac:dyDescent="0.35">
      <c r="C11" s="51"/>
      <c r="D11" s="5" t="s">
        <v>24</v>
      </c>
      <c r="E11" s="41">
        <f>E9*0.75</f>
        <v>19875000</v>
      </c>
      <c r="F11" s="8"/>
      <c r="G11" s="25" t="s">
        <v>17</v>
      </c>
      <c r="H11" s="40">
        <f>SUM(H8:H10)</f>
        <v>26495850.857142858</v>
      </c>
    </row>
    <row r="13" spans="2:9" ht="21" x14ac:dyDescent="0.25">
      <c r="C13" s="37" t="s">
        <v>63</v>
      </c>
      <c r="D13" s="37" t="s">
        <v>64</v>
      </c>
      <c r="E13" s="37" t="s">
        <v>12</v>
      </c>
    </row>
    <row r="14" spans="2:9" x14ac:dyDescent="0.25">
      <c r="C14" s="35" t="s">
        <v>53</v>
      </c>
      <c r="D14" s="35">
        <f>B5</f>
        <v>175.14</v>
      </c>
      <c r="E14" s="35" t="s">
        <v>61</v>
      </c>
    </row>
    <row r="15" spans="2:9" x14ac:dyDescent="0.25">
      <c r="C15" s="35" t="s">
        <v>52</v>
      </c>
      <c r="D15" s="39">
        <v>72000</v>
      </c>
      <c r="E15" s="35" t="s">
        <v>62</v>
      </c>
    </row>
    <row r="16" spans="2:9" x14ac:dyDescent="0.25">
      <c r="C16" s="35" t="s">
        <v>54</v>
      </c>
      <c r="D16" s="36">
        <v>0</v>
      </c>
      <c r="E16" s="35" t="s">
        <v>61</v>
      </c>
    </row>
    <row r="17" spans="3:6" x14ac:dyDescent="0.25">
      <c r="C17" s="35" t="s">
        <v>57</v>
      </c>
      <c r="D17" s="39">
        <v>0</v>
      </c>
      <c r="E17" s="35" t="s">
        <v>62</v>
      </c>
    </row>
    <row r="18" spans="3:6" x14ac:dyDescent="0.25">
      <c r="C18" s="35" t="s">
        <v>55</v>
      </c>
      <c r="D18" s="36">
        <v>0</v>
      </c>
      <c r="E18" s="35" t="s">
        <v>61</v>
      </c>
      <c r="F18" s="3"/>
    </row>
    <row r="19" spans="3:6" x14ac:dyDescent="0.25">
      <c r="C19" s="35" t="s">
        <v>58</v>
      </c>
      <c r="D19" s="39">
        <v>0</v>
      </c>
      <c r="E19" s="35" t="s">
        <v>62</v>
      </c>
    </row>
    <row r="20" spans="3:6" x14ac:dyDescent="0.25">
      <c r="C20" s="35" t="s">
        <v>56</v>
      </c>
      <c r="D20" s="36">
        <f>D16+D18</f>
        <v>0</v>
      </c>
      <c r="E20" s="35" t="s">
        <v>61</v>
      </c>
    </row>
    <row r="21" spans="3:6" x14ac:dyDescent="0.25">
      <c r="C21" s="35" t="s">
        <v>60</v>
      </c>
      <c r="D21" s="39">
        <v>0</v>
      </c>
      <c r="E21" s="35" t="s">
        <v>62</v>
      </c>
    </row>
    <row r="22" spans="3:6" ht="21" x14ac:dyDescent="0.25">
      <c r="C22" s="5" t="s">
        <v>3</v>
      </c>
      <c r="D22" s="47">
        <f>(D14*D15)+(D16*D17)+(D18*D19)+(D20*D21)</f>
        <v>12610079.999999998</v>
      </c>
      <c r="E22" s="48"/>
    </row>
    <row r="23" spans="3:6" ht="21" x14ac:dyDescent="0.25">
      <c r="C23" s="38" t="s">
        <v>65</v>
      </c>
      <c r="D23" s="52">
        <f>(E9-D22)/E9</f>
        <v>0.52414792452830195</v>
      </c>
      <c r="E23" s="53"/>
    </row>
  </sheetData>
  <mergeCells count="3">
    <mergeCell ref="D22:E22"/>
    <mergeCell ref="C9:C11"/>
    <mergeCell ref="D23:E23"/>
  </mergeCells>
  <hyperlinks>
    <hyperlink ref="I2" r:id="rId1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B1:W16"/>
  <sheetViews>
    <sheetView workbookViewId="0">
      <selection activeCell="B2" sqref="B2:Q12"/>
    </sheetView>
  </sheetViews>
  <sheetFormatPr defaultRowHeight="15" x14ac:dyDescent="0.25"/>
  <cols>
    <col min="2" max="2" width="6.42578125" bestFit="1" customWidth="1"/>
    <col min="3" max="3" width="12.5703125" bestFit="1" customWidth="1"/>
    <col min="4" max="4" width="10" bestFit="1" customWidth="1"/>
    <col min="5" max="5" width="16.7109375" bestFit="1" customWidth="1"/>
    <col min="6" max="6" width="13.7109375" bestFit="1" customWidth="1"/>
    <col min="7" max="7" width="13.85546875" hidden="1" customWidth="1"/>
    <col min="8" max="8" width="14.85546875" bestFit="1" customWidth="1"/>
    <col min="9" max="9" width="9.42578125" bestFit="1" customWidth="1"/>
    <col min="10" max="10" width="14.28515625" bestFit="1" customWidth="1"/>
    <col min="11" max="11" width="14" customWidth="1"/>
    <col min="12" max="12" width="18.7109375" hidden="1" customWidth="1"/>
    <col min="13" max="13" width="12.42578125" hidden="1" customWidth="1"/>
    <col min="14" max="14" width="12.85546875" hidden="1" customWidth="1"/>
    <col min="15" max="15" width="14.28515625" hidden="1" customWidth="1"/>
    <col min="16" max="16" width="14.28515625" bestFit="1" customWidth="1"/>
    <col min="17" max="17" width="18.28515625" hidden="1" customWidth="1"/>
  </cols>
  <sheetData>
    <row r="1" spans="2:23" s="10" customFormat="1" x14ac:dyDescent="0.25"/>
    <row r="2" spans="2:23" ht="15.75" x14ac:dyDescent="0.25">
      <c r="B2" s="55" t="s">
        <v>67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10"/>
      <c r="S2" s="10"/>
      <c r="T2" s="10"/>
    </row>
    <row r="3" spans="2:23" ht="32.25" customHeight="1" x14ac:dyDescent="0.25">
      <c r="B3" s="29" t="s">
        <v>25</v>
      </c>
      <c r="C3" s="29" t="s">
        <v>26</v>
      </c>
      <c r="D3" s="30" t="s">
        <v>49</v>
      </c>
      <c r="E3" s="29" t="s">
        <v>27</v>
      </c>
      <c r="F3" s="29" t="s">
        <v>28</v>
      </c>
      <c r="G3" s="29" t="s">
        <v>29</v>
      </c>
      <c r="H3" s="29" t="s">
        <v>30</v>
      </c>
      <c r="I3" s="29" t="s">
        <v>31</v>
      </c>
      <c r="J3" s="29" t="s">
        <v>32</v>
      </c>
      <c r="K3" s="29" t="s">
        <v>33</v>
      </c>
      <c r="L3" s="29" t="s">
        <v>34</v>
      </c>
      <c r="M3" s="29" t="s">
        <v>35</v>
      </c>
      <c r="N3" s="29" t="s">
        <v>36</v>
      </c>
      <c r="O3" s="29" t="s">
        <v>37</v>
      </c>
      <c r="P3" s="29" t="s">
        <v>38</v>
      </c>
      <c r="Q3" s="22" t="s">
        <v>39</v>
      </c>
    </row>
    <row r="4" spans="2:23" x14ac:dyDescent="0.25">
      <c r="B4" s="19">
        <v>1</v>
      </c>
      <c r="C4" s="19" t="s">
        <v>40</v>
      </c>
      <c r="D4" s="20">
        <f>32*39</f>
        <v>1248</v>
      </c>
      <c r="E4" s="19" t="s">
        <v>41</v>
      </c>
      <c r="F4" s="19">
        <v>1800</v>
      </c>
      <c r="G4" s="21">
        <v>0.1</v>
      </c>
      <c r="H4" s="19">
        <v>60</v>
      </c>
      <c r="I4" s="19">
        <v>2007</v>
      </c>
      <c r="J4" s="19">
        <v>2022</v>
      </c>
      <c r="K4" s="19">
        <f>J4-I4</f>
        <v>15</v>
      </c>
      <c r="L4" s="19">
        <f>(1-G4)/H4</f>
        <v>1.5000000000000001E-2</v>
      </c>
      <c r="M4" s="19">
        <f>L4*K4*F4</f>
        <v>405</v>
      </c>
      <c r="N4" s="19">
        <f>F4-M4</f>
        <v>1395</v>
      </c>
      <c r="O4" s="33">
        <f>N4*D4</f>
        <v>1740960</v>
      </c>
      <c r="P4" s="31">
        <f>O4*(1-Q4)</f>
        <v>1566864</v>
      </c>
      <c r="Q4" s="26">
        <v>0.1</v>
      </c>
    </row>
    <row r="5" spans="2:23" x14ac:dyDescent="0.25">
      <c r="B5" s="19">
        <v>2</v>
      </c>
      <c r="C5" s="19" t="s">
        <v>42</v>
      </c>
      <c r="D5" s="20">
        <f>D4</f>
        <v>1248</v>
      </c>
      <c r="E5" s="19" t="s">
        <v>41</v>
      </c>
      <c r="F5" s="19">
        <v>1800</v>
      </c>
      <c r="G5" s="21">
        <v>0.1</v>
      </c>
      <c r="H5" s="19">
        <v>60</v>
      </c>
      <c r="I5" s="19">
        <v>2007</v>
      </c>
      <c r="J5" s="19">
        <v>2022</v>
      </c>
      <c r="K5" s="19">
        <f t="shared" ref="K5:K6" si="0">J5-I5</f>
        <v>15</v>
      </c>
      <c r="L5" s="34">
        <f t="shared" ref="L5:L6" si="1">(1-G5)/H5</f>
        <v>1.5000000000000001E-2</v>
      </c>
      <c r="M5" s="19">
        <f t="shared" ref="M5:M6" si="2">L5*K5*F5</f>
        <v>405</v>
      </c>
      <c r="N5" s="19">
        <f t="shared" ref="N5:N6" si="3">F5-M5</f>
        <v>1395</v>
      </c>
      <c r="O5" s="33">
        <f t="shared" ref="O5:O6" si="4">N5*D5</f>
        <v>1740960</v>
      </c>
      <c r="P5" s="31">
        <f t="shared" ref="P5:P6" si="5">O5*(1-Q5)</f>
        <v>1566864</v>
      </c>
      <c r="Q5" s="26">
        <v>0.1</v>
      </c>
    </row>
    <row r="6" spans="2:23" x14ac:dyDescent="0.25">
      <c r="B6" s="19">
        <v>3</v>
      </c>
      <c r="C6" s="19" t="s">
        <v>43</v>
      </c>
      <c r="D6" s="20">
        <f>20*35</f>
        <v>700</v>
      </c>
      <c r="E6" s="19" t="s">
        <v>41</v>
      </c>
      <c r="F6" s="19">
        <v>1800</v>
      </c>
      <c r="G6" s="21">
        <v>0.1</v>
      </c>
      <c r="H6" s="19">
        <v>60</v>
      </c>
      <c r="I6" s="19">
        <v>2007</v>
      </c>
      <c r="J6" s="19">
        <v>2022</v>
      </c>
      <c r="K6" s="19">
        <f t="shared" si="0"/>
        <v>15</v>
      </c>
      <c r="L6" s="19">
        <f t="shared" si="1"/>
        <v>1.5000000000000001E-2</v>
      </c>
      <c r="M6" s="19">
        <f t="shared" si="2"/>
        <v>405</v>
      </c>
      <c r="N6" s="19">
        <f t="shared" si="3"/>
        <v>1395</v>
      </c>
      <c r="O6" s="33">
        <f t="shared" si="4"/>
        <v>976500</v>
      </c>
      <c r="P6" s="31">
        <f t="shared" si="5"/>
        <v>878850</v>
      </c>
      <c r="Q6" s="26">
        <v>0.1</v>
      </c>
    </row>
    <row r="7" spans="2:23" x14ac:dyDescent="0.25">
      <c r="B7" s="19"/>
      <c r="C7" s="23" t="s">
        <v>17</v>
      </c>
      <c r="D7" s="24">
        <f>SUM(D4:D6)</f>
        <v>3196</v>
      </c>
      <c r="E7" s="58"/>
      <c r="F7" s="58"/>
      <c r="G7" s="58"/>
      <c r="H7" s="58"/>
      <c r="I7" s="58"/>
      <c r="J7" s="58"/>
      <c r="K7" s="58"/>
      <c r="L7" s="19"/>
      <c r="M7" s="19"/>
      <c r="N7" s="19"/>
      <c r="O7" s="32">
        <f>SUM(O4:O6)</f>
        <v>4458420</v>
      </c>
      <c r="P7" s="32">
        <f>SUM(P4:P6)</f>
        <v>4012578</v>
      </c>
      <c r="Q7" s="19"/>
    </row>
    <row r="8" spans="2:23" x14ac:dyDescent="0.25">
      <c r="B8" s="56" t="s">
        <v>46</v>
      </c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10"/>
      <c r="S8" s="10"/>
      <c r="T8" s="10"/>
      <c r="U8" s="10"/>
      <c r="V8" s="10"/>
      <c r="W8" s="10"/>
    </row>
    <row r="9" spans="2:23" ht="30" customHeight="1" x14ac:dyDescent="0.25">
      <c r="B9" s="57" t="s">
        <v>72</v>
      </c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10"/>
      <c r="S9" s="10"/>
      <c r="T9" s="10"/>
      <c r="U9" s="10"/>
      <c r="V9" s="10"/>
      <c r="W9" s="10"/>
    </row>
    <row r="10" spans="2:23" ht="15" customHeight="1" x14ac:dyDescent="0.25">
      <c r="B10" s="54" t="s">
        <v>66</v>
      </c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10"/>
      <c r="S10" s="10"/>
      <c r="T10" s="10"/>
      <c r="U10" s="10"/>
      <c r="V10" s="10"/>
      <c r="W10" s="10"/>
    </row>
    <row r="11" spans="2:23" ht="15" customHeight="1" x14ac:dyDescent="0.25">
      <c r="B11" s="54" t="s">
        <v>48</v>
      </c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10"/>
      <c r="S11" s="10"/>
      <c r="T11" s="10"/>
      <c r="U11" s="10"/>
      <c r="V11" s="10"/>
      <c r="W11" s="10"/>
    </row>
    <row r="12" spans="2:23" x14ac:dyDescent="0.25">
      <c r="B12" s="54" t="s">
        <v>47</v>
      </c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10"/>
      <c r="S12" s="10"/>
      <c r="T12" s="10"/>
      <c r="U12" s="10"/>
      <c r="V12" s="10"/>
      <c r="W12" s="10"/>
    </row>
    <row r="13" spans="2:23" x14ac:dyDescent="0.25">
      <c r="R13" s="10"/>
      <c r="S13" s="10"/>
      <c r="T13" s="10"/>
      <c r="U13" s="10"/>
      <c r="V13" s="10"/>
      <c r="W13" s="10"/>
    </row>
    <row r="14" spans="2:23" x14ac:dyDescent="0.25">
      <c r="R14" s="10"/>
      <c r="S14" s="10"/>
      <c r="T14" s="10"/>
      <c r="U14" s="10"/>
      <c r="V14" s="10"/>
      <c r="W14" s="10"/>
    </row>
    <row r="15" spans="2:23" x14ac:dyDescent="0.25">
      <c r="R15" s="10"/>
      <c r="S15" s="10"/>
      <c r="T15" s="10"/>
      <c r="U15" s="10"/>
      <c r="V15" s="10"/>
      <c r="W15" s="10"/>
    </row>
    <row r="16" spans="2:23" x14ac:dyDescent="0.25">
      <c r="R16" s="10"/>
      <c r="S16" s="10"/>
      <c r="T16" s="10"/>
      <c r="U16" s="10"/>
      <c r="V16" s="10"/>
      <c r="W16" s="10"/>
    </row>
  </sheetData>
  <mergeCells count="7">
    <mergeCell ref="B12:Q12"/>
    <mergeCell ref="B2:Q2"/>
    <mergeCell ref="B8:Q8"/>
    <mergeCell ref="B9:Q9"/>
    <mergeCell ref="B10:Q10"/>
    <mergeCell ref="B11:Q11"/>
    <mergeCell ref="E7:K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2:V9"/>
  <sheetViews>
    <sheetView zoomScale="85" zoomScaleNormal="85" zoomScaleSheetLayoutView="85" workbookViewId="0">
      <selection activeCell="L4" sqref="L4"/>
    </sheetView>
  </sheetViews>
  <sheetFormatPr defaultRowHeight="15" x14ac:dyDescent="0.25"/>
  <cols>
    <col min="1" max="1" width="3.42578125" style="10" customWidth="1"/>
    <col min="2" max="2" width="12.85546875" style="10" customWidth="1"/>
    <col min="3" max="3" width="12.28515625" style="10" bestFit="1" customWidth="1"/>
    <col min="4" max="4" width="9.5703125" style="4" bestFit="1" customWidth="1"/>
    <col min="5" max="5" width="18.28515625" style="4" bestFit="1" customWidth="1"/>
    <col min="6" max="6" width="19.85546875" style="4" bestFit="1" customWidth="1"/>
    <col min="7" max="7" width="12.7109375" style="10" bestFit="1" customWidth="1"/>
    <col min="8" max="8" width="9.7109375" style="10" bestFit="1" customWidth="1"/>
    <col min="9" max="9" width="12.85546875" style="10" bestFit="1" customWidth="1"/>
    <col min="10" max="10" width="12.140625" style="10" bestFit="1" customWidth="1"/>
    <col min="11" max="12" width="11.7109375" style="10" bestFit="1" customWidth="1"/>
    <col min="13" max="13" width="10.85546875" style="10" bestFit="1" customWidth="1"/>
    <col min="14" max="14" width="12.7109375" style="10" bestFit="1" customWidth="1"/>
    <col min="15" max="15" width="10.85546875" style="10" bestFit="1" customWidth="1"/>
    <col min="16" max="16" width="12.42578125" style="10" customWidth="1"/>
    <col min="17" max="17" width="11.85546875" style="10" customWidth="1"/>
    <col min="18" max="18" width="11.42578125" style="10" customWidth="1"/>
    <col min="19" max="19" width="13.140625" style="16" bestFit="1" customWidth="1"/>
    <col min="20" max="20" width="16" style="10" bestFit="1" customWidth="1"/>
    <col min="21" max="21" width="13.5703125" style="10" bestFit="1" customWidth="1"/>
    <col min="22" max="22" width="14.28515625" style="10" bestFit="1" customWidth="1"/>
    <col min="23" max="16384" width="9.140625" style="10"/>
  </cols>
  <sheetData>
    <row r="2" spans="2:22" ht="15.75" x14ac:dyDescent="0.25">
      <c r="B2" s="59" t="s">
        <v>20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S2" s="10"/>
    </row>
    <row r="3" spans="2:22" ht="75" x14ac:dyDescent="0.25">
      <c r="B3" s="15" t="s">
        <v>23</v>
      </c>
      <c r="C3" s="15" t="s">
        <v>0</v>
      </c>
      <c r="D3" s="15" t="s">
        <v>1</v>
      </c>
      <c r="E3" s="15" t="s">
        <v>10</v>
      </c>
      <c r="F3" s="15" t="s">
        <v>11</v>
      </c>
      <c r="G3" s="15" t="s">
        <v>2</v>
      </c>
      <c r="H3" s="15" t="s">
        <v>4</v>
      </c>
      <c r="I3" s="15" t="s">
        <v>21</v>
      </c>
      <c r="J3" s="15" t="s">
        <v>8</v>
      </c>
      <c r="K3" s="15" t="s">
        <v>5</v>
      </c>
      <c r="L3" s="15" t="s">
        <v>6</v>
      </c>
      <c r="M3" s="15" t="s">
        <v>9</v>
      </c>
      <c r="N3" s="15" t="s">
        <v>7</v>
      </c>
      <c r="S3" s="10"/>
    </row>
    <row r="4" spans="2:22" x14ac:dyDescent="0.25">
      <c r="B4" s="13">
        <f>(39+(6+32+10))*2</f>
        <v>174</v>
      </c>
      <c r="C4" s="17">
        <v>2007</v>
      </c>
      <c r="D4" s="17">
        <v>2022</v>
      </c>
      <c r="E4" s="17">
        <f>D4-C4</f>
        <v>15</v>
      </c>
      <c r="F4" s="17">
        <v>35</v>
      </c>
      <c r="G4" s="11">
        <v>0.1</v>
      </c>
      <c r="H4" s="12">
        <f>(1-G4)/F4</f>
        <v>2.5714285714285714E-2</v>
      </c>
      <c r="I4" s="2">
        <v>2250</v>
      </c>
      <c r="J4" s="9">
        <f>I4*B4</f>
        <v>391500</v>
      </c>
      <c r="K4" s="2">
        <f>J4*H4*E4</f>
        <v>151007.14285714284</v>
      </c>
      <c r="L4" s="2">
        <f>MAX(J4-K4,0)</f>
        <v>240492.85714285716</v>
      </c>
      <c r="M4" s="14">
        <v>0</v>
      </c>
      <c r="N4" s="2">
        <f>IF(L4&gt;G4*J4,L4*(1-M4),J4*G4)</f>
        <v>240492.85714285716</v>
      </c>
      <c r="S4" s="10"/>
    </row>
    <row r="5" spans="2:22" x14ac:dyDescent="0.25">
      <c r="D5" s="10"/>
      <c r="E5" s="10"/>
      <c r="F5" s="10"/>
      <c r="I5" s="10">
        <v>3500</v>
      </c>
      <c r="S5" s="10"/>
    </row>
    <row r="6" spans="2:22" x14ac:dyDescent="0.25">
      <c r="B6" s="10">
        <v>120</v>
      </c>
      <c r="D6" s="10"/>
      <c r="E6" s="10"/>
      <c r="F6" s="10"/>
      <c r="I6" s="10">
        <v>3.2808000000000002</v>
      </c>
      <c r="S6" s="10"/>
    </row>
    <row r="7" spans="2:22" x14ac:dyDescent="0.25">
      <c r="D7" s="10"/>
      <c r="E7" s="10"/>
      <c r="F7" s="10"/>
      <c r="I7" s="10">
        <f>I5/I6</f>
        <v>1066.8129724457449</v>
      </c>
      <c r="S7" s="10"/>
    </row>
    <row r="8" spans="2:22" x14ac:dyDescent="0.25">
      <c r="D8" s="10"/>
      <c r="E8" s="10"/>
      <c r="F8" s="10"/>
      <c r="S8" s="10"/>
    </row>
    <row r="9" spans="2:22" x14ac:dyDescent="0.25">
      <c r="T9" s="3"/>
      <c r="U9" s="1"/>
      <c r="V9" s="1"/>
    </row>
  </sheetData>
  <mergeCells count="1">
    <mergeCell ref="B2:N2"/>
  </mergeCells>
  <pageMargins left="0.31496062992125984" right="0.31496062992125984" top="0.31496062992125984" bottom="0.31496062992125984" header="0.31496062992125984" footer="0.31496062992125984"/>
  <pageSetup paperSize="9" scale="5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"/>
  <sheetViews>
    <sheetView workbookViewId="0">
      <selection activeCell="H1" sqref="H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New (Land+Building) Valuation</vt:lpstr>
      <vt:lpstr>Building</vt:lpstr>
      <vt:lpstr>Wall</vt:lpstr>
      <vt:lpstr>Docs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trainee4</dc:creator>
  <cp:lastModifiedBy>Arun Tomar</cp:lastModifiedBy>
  <cp:lastPrinted>2022-01-07T08:12:53Z</cp:lastPrinted>
  <dcterms:created xsi:type="dcterms:W3CDTF">2021-09-16T11:33:35Z</dcterms:created>
  <dcterms:modified xsi:type="dcterms:W3CDTF">2022-11-03T10:32:16Z</dcterms:modified>
</cp:coreProperties>
</file>