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Y:\In Progress Files\Rahul Gupta\In progress\VIS(2022-23)-PL410-320-590\Report\"/>
    </mc:Choice>
  </mc:AlternateContent>
  <xr:revisionPtr revIDLastSave="0" documentId="13_ncr:1_{BE60C502-9AB1-4496-999E-9DF2C91970FA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2" l="1"/>
  <c r="F24" i="2"/>
  <c r="F22" i="2"/>
  <c r="C18" i="3" l="1"/>
  <c r="A3" i="3" s="1"/>
  <c r="B18" i="3"/>
  <c r="X5" i="2" l="1"/>
  <c r="Y7" i="2" l="1"/>
  <c r="Y8" i="2" s="1"/>
  <c r="M4" i="2"/>
  <c r="M5" i="2"/>
  <c r="M6" i="2"/>
  <c r="M7" i="2"/>
  <c r="M8" i="2"/>
  <c r="M9" i="2"/>
  <c r="M3" i="2"/>
  <c r="J4" i="2"/>
  <c r="J5" i="2"/>
  <c r="J6" i="2"/>
  <c r="J7" i="2"/>
  <c r="J8" i="2"/>
  <c r="J9" i="2"/>
  <c r="J3" i="2"/>
  <c r="F4" i="2" l="1"/>
  <c r="G4" i="2" s="1"/>
  <c r="O4" i="2" s="1"/>
  <c r="F3" i="2"/>
  <c r="G9" i="2"/>
  <c r="O9" i="2" s="1"/>
  <c r="G8" i="2"/>
  <c r="O8" i="2" s="1"/>
  <c r="G7" i="2"/>
  <c r="O7" i="2" s="1"/>
  <c r="G6" i="2"/>
  <c r="O6" i="2" s="1"/>
  <c r="G5" i="2"/>
  <c r="O5" i="2" s="1"/>
  <c r="F5" i="2" l="1"/>
  <c r="F7" i="2"/>
  <c r="G3" i="2"/>
  <c r="F8" i="2"/>
  <c r="P9" i="2"/>
  <c r="Q9" i="2" s="1"/>
  <c r="S9" i="2" s="1"/>
  <c r="F9" i="2"/>
  <c r="P6" i="2"/>
  <c r="Q6" i="2" s="1"/>
  <c r="S6" i="2" s="1"/>
  <c r="F6" i="2"/>
  <c r="F11" i="2" s="1"/>
  <c r="P5" i="2"/>
  <c r="Q5" i="2" s="1"/>
  <c r="S5" i="2" s="1"/>
  <c r="P7" i="2"/>
  <c r="Q7" i="2" s="1"/>
  <c r="S7" i="2" s="1"/>
  <c r="P8" i="2"/>
  <c r="Q8" i="2" s="1"/>
  <c r="S8" i="2" s="1"/>
  <c r="P4" i="2"/>
  <c r="Q4" i="2"/>
  <c r="S4" i="2" s="1"/>
  <c r="M6" i="4"/>
  <c r="K5" i="4"/>
  <c r="I5" i="4"/>
  <c r="F6" i="4"/>
  <c r="D4" i="4"/>
  <c r="O3" i="2" l="1"/>
  <c r="G11" i="2"/>
  <c r="I3" i="3"/>
  <c r="G3" i="3"/>
  <c r="D3" i="3"/>
  <c r="P3" i="2" l="1"/>
  <c r="Q3" i="2" s="1"/>
  <c r="O11" i="2"/>
  <c r="J3" i="3"/>
  <c r="K3" i="3" s="1"/>
  <c r="M3" i="3" s="1"/>
  <c r="S3" i="2" l="1"/>
  <c r="S11" i="2" s="1"/>
  <c r="Q11" i="2"/>
  <c r="G4" i="1"/>
  <c r="G5" i="1" s="1"/>
  <c r="E5" i="1"/>
  <c r="C5" i="1"/>
  <c r="U11" i="2" l="1"/>
</calcChain>
</file>

<file path=xl/sharedStrings.xml><?xml version="1.0" encoding="utf-8"?>
<sst xmlns="http://schemas.openxmlformats.org/spreadsheetml/2006/main" count="63" uniqueCount="44">
  <si>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</si>
  <si>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</si>
  <si>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</si>
  <si>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</si>
  <si>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</si>
  <si>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</si>
  <si>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</si>
  <si>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</si>
  <si>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</si>
  <si>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</si>
  <si>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</si>
  <si>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</si>
  <si>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</si>
  <si>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</si>
  <si>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</si>
  <si>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</si>
  <si>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1. All the details pertaing to the building area statement such as area, floor, etc has been taken from the documents provided to us by the bank.</t>
  </si>
  <si>
    <t>CoveredArea 
(in sq ft)</t>
  </si>
  <si>
    <t>Details of Building</t>
  </si>
  <si>
    <t>4.We have taken the year of construction from information provided to us during the survey.</t>
  </si>
  <si>
    <t>Floor</t>
  </si>
  <si>
    <t>Ground Floor</t>
  </si>
  <si>
    <t>Covered Area (in sq.mtr)</t>
  </si>
  <si>
    <t>2.The subject property is consturcted with different type of structures..</t>
  </si>
  <si>
    <t>Boundary wall valuation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</si>
  <si>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</si>
  <si>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</si>
  <si>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</si>
  <si>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</si>
  <si>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</si>
  <si>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</si>
  <si>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t xml:space="preserve">5.As per our site survey we have observed the maintenance of the building is good . </t>
  </si>
  <si>
    <t xml:space="preserve">BUILDING VALUATION OF PROPERTY OF M/S. VARAHAMURTI FLEXIRUB INDUSTRIES PRIVATE LIMITED | SITUATED AT PART OF KHASRA NO. 855, 858, 863, 864, GRAM GEJHA, PARGANA, TEHSIL AND DISTRICT MERUT, UTTAR PRADESH
</t>
  </si>
  <si>
    <t>Block A</t>
  </si>
  <si>
    <t>Block B</t>
  </si>
  <si>
    <t xml:space="preserve">Toilet </t>
  </si>
  <si>
    <t xml:space="preserve">Office </t>
  </si>
  <si>
    <t>Pump</t>
  </si>
  <si>
    <t>Guard Room Store</t>
  </si>
  <si>
    <t>Panel Room</t>
  </si>
  <si>
    <t>Height in Feet</t>
  </si>
  <si>
    <t>Brick wall, Iron Pillar Truss GI Shed</t>
  </si>
  <si>
    <t>6.We have considered the covered area as per the  measurement done during the site survey  i.e 108368.75 sq.ft only.</t>
  </si>
  <si>
    <t>RCC framed pillar beam column on RCC slab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</si>
</sst>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5" fontId="0" fillId="0" borderId="0" xfId="0" applyNumberFormat="1"/>
    <xf numFmtId="43" fontId="0" fillId="0" borderId="0" xfId="0" applyNumberFormat="1"/>
    <xf numFmtId="43" fontId="0" fillId="0" borderId="1" xfId="6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 wrapText="1"/>
    </xf>
    <xf numFmtId="165" fontId="0" fillId="5" borderId="1" xfId="1" applyNumberFormat="1" applyFont="1" applyFill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right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166" fontId="0" fillId="0" borderId="0" xfId="0" applyNumberForma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13">
    <cellStyle name="40% - Accent1" xfId="3" builtinId="31"/>
    <cellStyle name="Comma" xfId="6" builtinId="3"/>
    <cellStyle name="Comma 2" xfId="4" xr:uid="{00000000-0005-0000-0000-000002000000}"/>
    <cellStyle name="Comma 2 2" xfId="10" xr:uid="{00000000-0005-0000-0000-000003000000}"/>
    <cellStyle name="Comma 3" xfId="12" xr:uid="{00000000-0005-0000-0000-000004000000}"/>
    <cellStyle name="Comma 4" xfId="8" xr:uid="{00000000-0005-0000-0000-000005000000}"/>
    <cellStyle name="Currency" xfId="1" builtinId="4"/>
    <cellStyle name="Currency 2" xfId="5" xr:uid="{00000000-0005-0000-0000-000007000000}"/>
    <cellStyle name="Currency 2 2" xfId="9" xr:uid="{00000000-0005-0000-0000-000008000000}"/>
    <cellStyle name="Currency 3" xfId="11" xr:uid="{00000000-0005-0000-0000-000009000000}"/>
    <cellStyle name="Currency 4" xfId="7" xr:uid="{00000000-0005-0000-0000-00000A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topLeftCell="A19" workbookViewId="0">
      <selection activeCell="G43" sqref="G43"/>
    </sheetView>
  </sheetViews>
  <sheetFormatPr defaultRowHeight="15" x14ac:dyDescent="0.25"/>
  <cols>
    <col min="1" max="1" width="7.28515625" customWidth="1"/>
    <col min="2" max="2" width="17.42578125" bestFit="1" customWidth="1"/>
    <col min="3" max="3" width="12.5703125" bestFit="1" customWidth="1"/>
    <col min="4" max="4" width="9" bestFit="1" customWidth="1"/>
    <col min="5" max="5" width="22.140625" bestFit="1" customWidth="1"/>
    <col min="6" max="6" width="12.7109375" customWidth="1"/>
    <col min="7" max="7" width="9.140625" customWidth="1"/>
    <col min="8" max="8" width="11.140625" customWidth="1"/>
    <col min="9" max="9" width="5.5703125" bestFit="1" customWidth="1"/>
    <col min="10" max="10" width="10.42578125" bestFit="1" customWidth="1"/>
    <col min="11" max="11" width="9.42578125" bestFit="1" customWidth="1"/>
    <col min="12" max="12" width="7.7109375" hidden="1" customWidth="1"/>
    <col min="13" max="13" width="6.5703125" hidden="1" customWidth="1"/>
    <col min="14" max="14" width="11.85546875" bestFit="1" customWidth="1"/>
    <col min="15" max="15" width="14.28515625" bestFit="1" customWidth="1"/>
    <col min="16" max="16" width="11.5703125" customWidth="1"/>
    <col min="17" max="17" width="14.28515625" hidden="1" customWidth="1"/>
    <col min="18" max="18" width="8.28515625" hidden="1" customWidth="1"/>
    <col min="19" max="19" width="14.28515625" bestFit="1" customWidth="1"/>
    <col min="21" max="21" width="5.85546875" bestFit="1" customWidth="1"/>
    <col min="24" max="24" width="3" bestFit="1" customWidth="1"/>
    <col min="25" max="25" width="12" bestFit="1" customWidth="1"/>
  </cols>
  <sheetData>
    <row r="1" spans="1:25" ht="55.5" customHeight="1" x14ac:dyDescent="0.25">
      <c r="A1" s="28" t="s">
        <v>32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25" ht="60" x14ac:dyDescent="0.25">
      <c r="A2" s="1" t="s">
        <v>0</v>
      </c>
      <c r="B2" s="1" t="s">
        <v>18</v>
      </c>
      <c r="C2" s="1" t="s">
        <v>20</v>
      </c>
      <c r="D2" s="1" t="s">
        <v>40</v>
      </c>
      <c r="E2" s="1" t="s">
        <v>1</v>
      </c>
      <c r="F2" s="1" t="s">
        <v>22</v>
      </c>
      <c r="G2" s="1" t="s">
        <v>17</v>
      </c>
      <c r="H2" s="1" t="s">
        <v>26</v>
      </c>
      <c r="I2" s="1" t="s">
        <v>2</v>
      </c>
      <c r="J2" s="1" t="s">
        <v>3</v>
      </c>
      <c r="K2" s="1" t="s">
        <v>4</v>
      </c>
      <c r="L2" s="1" t="s">
        <v>5</v>
      </c>
      <c r="M2" s="1" t="s">
        <v>6</v>
      </c>
      <c r="N2" s="1" t="s">
        <v>7</v>
      </c>
      <c r="O2" s="1" t="s">
        <v>8</v>
      </c>
      <c r="P2" s="1" t="s">
        <v>9</v>
      </c>
      <c r="Q2" s="1" t="s">
        <v>10</v>
      </c>
      <c r="R2" s="2" t="s">
        <v>15</v>
      </c>
      <c r="S2" s="1" t="s">
        <v>11</v>
      </c>
    </row>
    <row r="3" spans="1:25" ht="30" x14ac:dyDescent="0.25">
      <c r="A3" s="3">
        <v>1</v>
      </c>
      <c r="B3" s="3" t="s">
        <v>33</v>
      </c>
      <c r="C3" s="3" t="s">
        <v>21</v>
      </c>
      <c r="D3" s="3">
        <v>45</v>
      </c>
      <c r="E3" s="3" t="s">
        <v>41</v>
      </c>
      <c r="F3" s="24">
        <f>35*150</f>
        <v>5250</v>
      </c>
      <c r="G3" s="24">
        <f>F3*10.7639</f>
        <v>56510.474999999999</v>
      </c>
      <c r="H3" s="3">
        <v>2021</v>
      </c>
      <c r="I3" s="3">
        <v>2022</v>
      </c>
      <c r="J3" s="3">
        <f t="shared" ref="J3:J9" si="0">I3-H3</f>
        <v>1</v>
      </c>
      <c r="K3" s="3">
        <v>45</v>
      </c>
      <c r="L3" s="4">
        <v>0.1</v>
      </c>
      <c r="M3" s="5">
        <f t="shared" ref="M3:M9" si="1">(1-L3)/K3</f>
        <v>0.02</v>
      </c>
      <c r="N3" s="6">
        <v>1100</v>
      </c>
      <c r="O3" s="6">
        <f t="shared" ref="O3:O9" si="2">N3*G3</f>
        <v>62161522.5</v>
      </c>
      <c r="P3" s="6">
        <f t="shared" ref="P3:P9" si="3">O3*M3*J3</f>
        <v>1243230.45</v>
      </c>
      <c r="Q3" s="6">
        <f t="shared" ref="Q3:Q9" si="4">MAX(O3-P3,0)</f>
        <v>60918292.049999997</v>
      </c>
      <c r="R3" s="22">
        <v>0</v>
      </c>
      <c r="S3" s="23">
        <f t="shared" ref="S3:S9" si="5">IF(Q3&gt;L3*O3,Q3*(1-R3),O3*L3)</f>
        <v>60918292.049999997</v>
      </c>
    </row>
    <row r="4" spans="1:25" ht="30" x14ac:dyDescent="0.25">
      <c r="A4" s="3">
        <v>2</v>
      </c>
      <c r="B4" s="3" t="s">
        <v>34</v>
      </c>
      <c r="C4" s="3" t="s">
        <v>21</v>
      </c>
      <c r="D4" s="3">
        <v>45</v>
      </c>
      <c r="E4" s="3" t="s">
        <v>41</v>
      </c>
      <c r="F4" s="24">
        <f>32*140</f>
        <v>4480</v>
      </c>
      <c r="G4" s="24">
        <f>F4*10.7639</f>
        <v>48222.271999999997</v>
      </c>
      <c r="H4" s="3">
        <v>2021</v>
      </c>
      <c r="I4" s="3">
        <v>2022</v>
      </c>
      <c r="J4" s="3">
        <f t="shared" si="0"/>
        <v>1</v>
      </c>
      <c r="K4" s="3">
        <v>45</v>
      </c>
      <c r="L4" s="4">
        <v>0.1</v>
      </c>
      <c r="M4" s="5">
        <f t="shared" si="1"/>
        <v>0.02</v>
      </c>
      <c r="N4" s="6">
        <v>1100</v>
      </c>
      <c r="O4" s="6">
        <f t="shared" si="2"/>
        <v>53044499.199999996</v>
      </c>
      <c r="P4" s="6">
        <f t="shared" si="3"/>
        <v>1060889.9839999999</v>
      </c>
      <c r="Q4" s="6">
        <f t="shared" si="4"/>
        <v>51983609.215999998</v>
      </c>
      <c r="R4" s="22">
        <v>0</v>
      </c>
      <c r="S4" s="23">
        <f t="shared" si="5"/>
        <v>51983609.215999998</v>
      </c>
    </row>
    <row r="5" spans="1:25" ht="30" x14ac:dyDescent="0.25">
      <c r="A5" s="3">
        <v>3</v>
      </c>
      <c r="B5" s="3" t="s">
        <v>35</v>
      </c>
      <c r="C5" s="3" t="s">
        <v>21</v>
      </c>
      <c r="D5" s="3">
        <v>12</v>
      </c>
      <c r="E5" s="3" t="s">
        <v>43</v>
      </c>
      <c r="F5" s="24">
        <f>G5/10.7639</f>
        <v>72.464441327028311</v>
      </c>
      <c r="G5" s="24">
        <f>13*60</f>
        <v>780</v>
      </c>
      <c r="H5" s="3">
        <v>2021</v>
      </c>
      <c r="I5" s="3">
        <v>2022</v>
      </c>
      <c r="J5" s="3">
        <f t="shared" si="0"/>
        <v>1</v>
      </c>
      <c r="K5" s="3">
        <v>60</v>
      </c>
      <c r="L5" s="4">
        <v>0.1</v>
      </c>
      <c r="M5" s="5">
        <f t="shared" si="1"/>
        <v>1.5000000000000001E-2</v>
      </c>
      <c r="N5" s="6">
        <v>1400</v>
      </c>
      <c r="O5" s="6">
        <f t="shared" si="2"/>
        <v>1092000</v>
      </c>
      <c r="P5" s="6">
        <f t="shared" si="3"/>
        <v>16380.000000000002</v>
      </c>
      <c r="Q5" s="6">
        <f t="shared" si="4"/>
        <v>1075620</v>
      </c>
      <c r="R5" s="22">
        <v>0</v>
      </c>
      <c r="S5" s="23">
        <f t="shared" si="5"/>
        <v>1075620</v>
      </c>
      <c r="X5">
        <f>65-28</f>
        <v>37</v>
      </c>
    </row>
    <row r="6" spans="1:25" ht="30" x14ac:dyDescent="0.25">
      <c r="A6" s="3">
        <v>4</v>
      </c>
      <c r="B6" s="3" t="s">
        <v>36</v>
      </c>
      <c r="C6" s="3" t="s">
        <v>21</v>
      </c>
      <c r="D6" s="3">
        <v>9</v>
      </c>
      <c r="E6" s="3" t="s">
        <v>43</v>
      </c>
      <c r="F6" s="24">
        <f t="shared" ref="F6:F9" si="6">G6/10.7639</f>
        <v>59.45800314012579</v>
      </c>
      <c r="G6" s="24">
        <f>16*40</f>
        <v>640</v>
      </c>
      <c r="H6" s="3">
        <v>2021</v>
      </c>
      <c r="I6" s="3">
        <v>2022</v>
      </c>
      <c r="J6" s="3">
        <f t="shared" si="0"/>
        <v>1</v>
      </c>
      <c r="K6" s="3">
        <v>60</v>
      </c>
      <c r="L6" s="4">
        <v>0.1</v>
      </c>
      <c r="M6" s="5">
        <f t="shared" si="1"/>
        <v>1.5000000000000001E-2</v>
      </c>
      <c r="N6" s="6">
        <v>1400</v>
      </c>
      <c r="O6" s="6">
        <f t="shared" si="2"/>
        <v>896000</v>
      </c>
      <c r="P6" s="6">
        <f t="shared" si="3"/>
        <v>13440.000000000002</v>
      </c>
      <c r="Q6" s="6">
        <f t="shared" si="4"/>
        <v>882560</v>
      </c>
      <c r="R6" s="22">
        <v>0</v>
      </c>
      <c r="S6" s="23">
        <f t="shared" si="5"/>
        <v>882560</v>
      </c>
    </row>
    <row r="7" spans="1:25" ht="30" x14ac:dyDescent="0.25">
      <c r="A7" s="3">
        <v>5</v>
      </c>
      <c r="B7" s="3" t="s">
        <v>37</v>
      </c>
      <c r="C7" s="3" t="s">
        <v>21</v>
      </c>
      <c r="D7" s="3">
        <v>12</v>
      </c>
      <c r="E7" s="3" t="s">
        <v>43</v>
      </c>
      <c r="F7" s="24">
        <f t="shared" si="6"/>
        <v>44.965114874720129</v>
      </c>
      <c r="G7" s="24">
        <f>22*22</f>
        <v>484</v>
      </c>
      <c r="H7" s="3">
        <v>2021</v>
      </c>
      <c r="I7" s="3">
        <v>2022</v>
      </c>
      <c r="J7" s="3">
        <f t="shared" si="0"/>
        <v>1</v>
      </c>
      <c r="K7" s="3">
        <v>60</v>
      </c>
      <c r="L7" s="4">
        <v>0.1</v>
      </c>
      <c r="M7" s="5">
        <f t="shared" si="1"/>
        <v>1.5000000000000001E-2</v>
      </c>
      <c r="N7" s="6">
        <v>1400</v>
      </c>
      <c r="O7" s="6">
        <f t="shared" si="2"/>
        <v>677600</v>
      </c>
      <c r="P7" s="6">
        <f t="shared" si="3"/>
        <v>10164</v>
      </c>
      <c r="Q7" s="6">
        <f t="shared" si="4"/>
        <v>667436</v>
      </c>
      <c r="R7" s="22">
        <v>0</v>
      </c>
      <c r="S7" s="23">
        <f t="shared" si="5"/>
        <v>667436</v>
      </c>
      <c r="Y7">
        <f>9855.44</f>
        <v>9855.44</v>
      </c>
    </row>
    <row r="8" spans="1:25" ht="30" x14ac:dyDescent="0.25">
      <c r="A8" s="3">
        <v>6</v>
      </c>
      <c r="B8" s="3" t="s">
        <v>38</v>
      </c>
      <c r="C8" s="3" t="s">
        <v>21</v>
      </c>
      <c r="D8" s="3">
        <v>12</v>
      </c>
      <c r="E8" s="3" t="s">
        <v>43</v>
      </c>
      <c r="F8" s="24">
        <f t="shared" si="6"/>
        <v>120.77406887838052</v>
      </c>
      <c r="G8" s="24">
        <f>26*50</f>
        <v>1300</v>
      </c>
      <c r="H8" s="3">
        <v>2021</v>
      </c>
      <c r="I8" s="3">
        <v>2022</v>
      </c>
      <c r="J8" s="3">
        <f t="shared" si="0"/>
        <v>1</v>
      </c>
      <c r="K8" s="3">
        <v>60</v>
      </c>
      <c r="L8" s="4">
        <v>0.1</v>
      </c>
      <c r="M8" s="5">
        <f t="shared" si="1"/>
        <v>1.5000000000000001E-2</v>
      </c>
      <c r="N8" s="6">
        <v>1400</v>
      </c>
      <c r="O8" s="6">
        <f t="shared" si="2"/>
        <v>1820000</v>
      </c>
      <c r="P8" s="6">
        <f t="shared" si="3"/>
        <v>27300.000000000004</v>
      </c>
      <c r="Q8" s="6">
        <f t="shared" si="4"/>
        <v>1792700</v>
      </c>
      <c r="R8" s="22">
        <v>0</v>
      </c>
      <c r="S8" s="23">
        <f t="shared" si="5"/>
        <v>1792700</v>
      </c>
      <c r="Y8">
        <f>Y7*10.7639</f>
        <v>106082.97061600001</v>
      </c>
    </row>
    <row r="9" spans="1:25" ht="30" x14ac:dyDescent="0.25">
      <c r="A9" s="3">
        <v>7</v>
      </c>
      <c r="B9" s="3" t="s">
        <v>39</v>
      </c>
      <c r="C9" s="3" t="s">
        <v>21</v>
      </c>
      <c r="D9" s="3">
        <v>12</v>
      </c>
      <c r="E9" s="3" t="s">
        <v>43</v>
      </c>
      <c r="F9" s="24">
        <f t="shared" si="6"/>
        <v>40.134152119584911</v>
      </c>
      <c r="G9" s="24">
        <f>36*12</f>
        <v>432</v>
      </c>
      <c r="H9" s="3">
        <v>2021</v>
      </c>
      <c r="I9" s="3">
        <v>2022</v>
      </c>
      <c r="J9" s="3">
        <f t="shared" si="0"/>
        <v>1</v>
      </c>
      <c r="K9" s="3">
        <v>60</v>
      </c>
      <c r="L9" s="4">
        <v>0.1</v>
      </c>
      <c r="M9" s="5">
        <f t="shared" si="1"/>
        <v>1.5000000000000001E-2</v>
      </c>
      <c r="N9" s="6">
        <v>1400</v>
      </c>
      <c r="O9" s="6">
        <f t="shared" si="2"/>
        <v>604800</v>
      </c>
      <c r="P9" s="6">
        <f t="shared" si="3"/>
        <v>9072</v>
      </c>
      <c r="Q9" s="6">
        <f t="shared" si="4"/>
        <v>595728</v>
      </c>
      <c r="R9" s="22">
        <v>0</v>
      </c>
      <c r="S9" s="23">
        <f t="shared" si="5"/>
        <v>595728</v>
      </c>
    </row>
    <row r="10" spans="1:25" x14ac:dyDescent="0.25">
      <c r="A10" s="3"/>
      <c r="B10" s="3"/>
      <c r="C10" s="3"/>
      <c r="D10" s="3"/>
      <c r="E10" s="3"/>
      <c r="F10" s="13"/>
      <c r="G10" s="24"/>
      <c r="H10" s="3"/>
      <c r="I10" s="3"/>
      <c r="J10" s="3"/>
      <c r="K10" s="3"/>
      <c r="L10" s="4"/>
      <c r="M10" s="5"/>
      <c r="N10" s="6"/>
      <c r="O10" s="6"/>
      <c r="P10" s="6"/>
      <c r="Q10" s="6"/>
      <c r="R10" s="7"/>
      <c r="S10" s="6"/>
    </row>
    <row r="11" spans="1:25" x14ac:dyDescent="0.25">
      <c r="A11" s="33" t="s">
        <v>12</v>
      </c>
      <c r="B11" s="33"/>
      <c r="C11" s="33"/>
      <c r="D11" s="33"/>
      <c r="E11" s="33"/>
      <c r="F11" s="26">
        <f>SUM(F3:F10)</f>
        <v>10067.795780339839</v>
      </c>
      <c r="G11" s="25">
        <f>SUM(G3:G10)</f>
        <v>108368.747</v>
      </c>
      <c r="H11" s="33"/>
      <c r="I11" s="33"/>
      <c r="J11" s="33"/>
      <c r="K11" s="33"/>
      <c r="L11" s="33"/>
      <c r="M11" s="33"/>
      <c r="N11" s="33"/>
      <c r="O11" s="8">
        <f>SUM(O3:O10)</f>
        <v>120296421.69999999</v>
      </c>
      <c r="P11" s="8"/>
      <c r="Q11" s="8">
        <f>SUM(Q3:Q10)</f>
        <v>117915945.266</v>
      </c>
      <c r="R11" s="9"/>
      <c r="S11" s="8">
        <f>SUM(S3:S10)</f>
        <v>117915945.266</v>
      </c>
      <c r="U11" t="e">
        <f>S11/#REF!</f>
        <v>#REF!</v>
      </c>
    </row>
    <row r="12" spans="1:25" x14ac:dyDescent="0.25">
      <c r="A12" s="34" t="s">
        <v>13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</row>
    <row r="13" spans="1:25" x14ac:dyDescent="0.25">
      <c r="A13" s="29" t="s">
        <v>16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25" x14ac:dyDescent="0.25">
      <c r="A14" s="29" t="s">
        <v>23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25" x14ac:dyDescent="0.25">
      <c r="A15" s="29" t="s">
        <v>14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25" x14ac:dyDescent="0.25">
      <c r="A16" s="29" t="s">
        <v>19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:22" x14ac:dyDescent="0.25">
      <c r="A17" s="30" t="s">
        <v>31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2"/>
    </row>
    <row r="18" spans="1:22" x14ac:dyDescent="0.25">
      <c r="A18" s="29" t="s">
        <v>42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10"/>
      <c r="U18" s="10"/>
      <c r="V18" s="10"/>
    </row>
    <row r="20" spans="1:22" x14ac:dyDescent="0.25">
      <c r="G20" s="12"/>
    </row>
    <row r="22" spans="1:22" x14ac:dyDescent="0.25">
      <c r="F22">
        <f>338*12500</f>
        <v>4225000</v>
      </c>
    </row>
    <row r="23" spans="1:22" x14ac:dyDescent="0.25">
      <c r="L23" s="11"/>
    </row>
    <row r="24" spans="1:22" x14ac:dyDescent="0.25">
      <c r="F24" s="14">
        <f>9730*6000</f>
        <v>58380000</v>
      </c>
    </row>
    <row r="25" spans="1:22" x14ac:dyDescent="0.25">
      <c r="F25" s="27">
        <f>SUM(F22:F24)</f>
        <v>62605000</v>
      </c>
    </row>
  </sheetData>
  <mergeCells count="10">
    <mergeCell ref="A1:S1"/>
    <mergeCell ref="A18:S18"/>
    <mergeCell ref="A15:S15"/>
    <mergeCell ref="A16:S16"/>
    <mergeCell ref="A17:S17"/>
    <mergeCell ref="A11:E11"/>
    <mergeCell ref="H11:N11"/>
    <mergeCell ref="A12:S12"/>
    <mergeCell ref="A13:S13"/>
    <mergeCell ref="A14:S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5"/>
  <sheetViews>
    <sheetView workbookViewId="0">
      <selection activeCell="C5" sqref="C5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</cols>
  <sheetData>
    <row r="3" spans="3:7" x14ac:dyDescent="0.25">
      <c r="C3">
        <v>87120</v>
      </c>
      <c r="E3">
        <v>7943455</v>
      </c>
      <c r="G3">
        <v>36000000</v>
      </c>
    </row>
    <row r="4" spans="3:7" x14ac:dyDescent="0.25">
      <c r="C4">
        <v>500</v>
      </c>
      <c r="E4">
        <v>2</v>
      </c>
      <c r="G4">
        <f>60000</f>
        <v>60000</v>
      </c>
    </row>
    <row r="5" spans="3:7" x14ac:dyDescent="0.25">
      <c r="C5" s="14">
        <f>C4*C3</f>
        <v>43560000</v>
      </c>
      <c r="E5" s="14">
        <f>E4*E3</f>
        <v>15886910</v>
      </c>
      <c r="G5">
        <f>G3/G4</f>
        <v>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tabSelected="1" workbookViewId="0">
      <selection activeCell="I14" sqref="I13:I14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bestFit="1" customWidth="1"/>
    <col min="8" max="8" width="8" bestFit="1" customWidth="1"/>
    <col min="9" max="9" width="11.5703125" bestFit="1" customWidth="1"/>
    <col min="10" max="10" width="10.5703125" bestFit="1" customWidth="1"/>
    <col min="11" max="11" width="11.5703125" bestFit="1" customWidth="1"/>
    <col min="12" max="12" width="8.7109375" bestFit="1" customWidth="1"/>
    <col min="13" max="13" width="11.5703125" bestFit="1" customWidth="1"/>
  </cols>
  <sheetData>
    <row r="1" spans="1:13" ht="15.75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105" x14ac:dyDescent="0.25">
      <c r="A2" s="15" t="s">
        <v>25</v>
      </c>
      <c r="B2" s="15" t="s">
        <v>26</v>
      </c>
      <c r="C2" s="15" t="s">
        <v>2</v>
      </c>
      <c r="D2" s="15" t="s">
        <v>27</v>
      </c>
      <c r="E2" s="15" t="s">
        <v>28</v>
      </c>
      <c r="F2" s="15" t="s">
        <v>5</v>
      </c>
      <c r="G2" s="15" t="s">
        <v>6</v>
      </c>
      <c r="H2" s="15" t="s">
        <v>29</v>
      </c>
      <c r="I2" s="15" t="s">
        <v>8</v>
      </c>
      <c r="J2" s="15" t="s">
        <v>9</v>
      </c>
      <c r="K2" s="15" t="s">
        <v>10</v>
      </c>
      <c r="L2" s="15" t="s">
        <v>30</v>
      </c>
      <c r="M2" s="15" t="s">
        <v>11</v>
      </c>
    </row>
    <row r="3" spans="1:13" x14ac:dyDescent="0.25">
      <c r="A3" s="16">
        <f>C18</f>
        <v>2749.7551999999991</v>
      </c>
      <c r="B3" s="17">
        <v>2021</v>
      </c>
      <c r="C3" s="17">
        <v>2022</v>
      </c>
      <c r="D3" s="17">
        <f>C3-B3</f>
        <v>1</v>
      </c>
      <c r="E3" s="17">
        <v>60</v>
      </c>
      <c r="F3" s="18">
        <v>0.1</v>
      </c>
      <c r="G3" s="19">
        <f>(1-F3)/E3</f>
        <v>1.5000000000000001E-2</v>
      </c>
      <c r="H3" s="20">
        <v>1200</v>
      </c>
      <c r="I3" s="20">
        <f>H3*A3</f>
        <v>3299706.2399999988</v>
      </c>
      <c r="J3" s="20">
        <f>I3*G3*D3</f>
        <v>49495.593599999986</v>
      </c>
      <c r="K3" s="20">
        <f>MAX(I3-J3,0)</f>
        <v>3250210.646399999</v>
      </c>
      <c r="L3" s="21">
        <v>0</v>
      </c>
      <c r="M3" s="20">
        <f>IF(K3&gt;F3*I3,K3*(1-L3),I3*F3)</f>
        <v>3250210.646399999</v>
      </c>
    </row>
    <row r="6" spans="1:13" x14ac:dyDescent="0.25">
      <c r="B6">
        <v>35.950000000000003</v>
      </c>
    </row>
    <row r="7" spans="1:13" x14ac:dyDescent="0.25">
      <c r="B7">
        <v>248.76</v>
      </c>
    </row>
    <row r="8" spans="1:13" x14ac:dyDescent="0.25">
      <c r="B8">
        <v>46.5</v>
      </c>
    </row>
    <row r="9" spans="1:13" x14ac:dyDescent="0.25">
      <c r="B9">
        <v>56.67</v>
      </c>
    </row>
    <row r="10" spans="1:13" x14ac:dyDescent="0.25">
      <c r="B10">
        <v>49.88</v>
      </c>
    </row>
    <row r="11" spans="1:13" x14ac:dyDescent="0.25">
      <c r="B11">
        <v>89.81</v>
      </c>
    </row>
    <row r="12" spans="1:13" x14ac:dyDescent="0.25">
      <c r="B12">
        <v>18</v>
      </c>
    </row>
    <row r="13" spans="1:13" x14ac:dyDescent="0.25">
      <c r="B13">
        <v>79.13</v>
      </c>
    </row>
    <row r="14" spans="1:13" x14ac:dyDescent="0.25">
      <c r="B14">
        <v>25.77</v>
      </c>
    </row>
    <row r="15" spans="1:13" x14ac:dyDescent="0.25">
      <c r="B15">
        <v>35.43</v>
      </c>
    </row>
    <row r="16" spans="1:13" x14ac:dyDescent="0.25">
      <c r="B16">
        <v>69.069999999999993</v>
      </c>
    </row>
    <row r="17" spans="2:3" x14ac:dyDescent="0.25">
      <c r="B17">
        <v>83.37</v>
      </c>
    </row>
    <row r="18" spans="2:3" x14ac:dyDescent="0.25">
      <c r="B18">
        <f>SUM(B6:B17)</f>
        <v>838.3399999999998</v>
      </c>
      <c r="C18">
        <f>B18*3.28</f>
        <v>2749.7551999999991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L19" sqref="L19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Rajani Gupta</cp:lastModifiedBy>
  <dcterms:created xsi:type="dcterms:W3CDTF">2022-07-28T09:17:09Z</dcterms:created>
  <dcterms:modified xsi:type="dcterms:W3CDTF">2022-11-16T12:52:13Z</dcterms:modified>
</cp:coreProperties>
</file>