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In Progress Files\Tejash Bharadwaj\Piano Real estate\RKA reports\"/>
    </mc:Choice>
  </mc:AlternateContent>
  <xr:revisionPtr revIDLastSave="0" documentId="13_ncr:1_{677A43C1-331C-4C5E-A383-E2BC7B6A7FC8}" xr6:coauthVersionLast="47" xr6:coauthVersionMax="47" xr10:uidLastSave="{00000000-0000-0000-0000-000000000000}"/>
  <bookViews>
    <workbookView xWindow="-120" yWindow="-120" windowWidth="24240" windowHeight="13140" tabRatio="890" activeTab="2" xr2:uid="{00000000-000D-0000-FFFF-FFFF00000000}"/>
  </bookViews>
  <sheets>
    <sheet name="Working Summary" sheetId="5" r:id="rId1"/>
    <sheet name="Assumptions" sheetId="2" r:id="rId2"/>
    <sheet name="Inflow" sheetId="6" r:id="rId3"/>
    <sheet name="Outflow" sheetId="7" r:id="rId4"/>
    <sheet name="DCF Model" sheetId="1" r:id="rId5"/>
    <sheet name="Project Inventory" sheetId="4" r:id="rId6"/>
    <sheet name="Res. Method of Val. (WO NPV)" sheetId="3" r:id="rId7"/>
    <sheet name="Land Valuation (Market)" sheetId="8" r:id="rId8"/>
    <sheet name="Land Valuation (Guideline)" sheetId="9" r:id="rId9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0" i="6" l="1"/>
  <c r="E20" i="6"/>
  <c r="F20" i="6"/>
  <c r="G20" i="6"/>
  <c r="C20" i="6"/>
  <c r="H20" i="6"/>
  <c r="H17" i="6"/>
  <c r="H18" i="6" s="1"/>
  <c r="H13" i="6"/>
  <c r="H14" i="6" s="1"/>
  <c r="H9" i="6"/>
  <c r="H10" i="6"/>
  <c r="G6" i="3"/>
  <c r="G8" i="3" s="1"/>
  <c r="C13" i="3"/>
  <c r="C15" i="3" s="1"/>
  <c r="XFD12" i="8"/>
  <c r="E21" i="2"/>
  <c r="F21" i="2" s="1"/>
  <c r="D21" i="2"/>
  <c r="C23" i="1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5" i="4"/>
  <c r="C26" i="5"/>
  <c r="F11" i="8"/>
  <c r="F12" i="8" s="1"/>
  <c r="G12" i="8"/>
  <c r="E12" i="8"/>
  <c r="I123" i="4"/>
  <c r="H6" i="3"/>
  <c r="F6" i="3"/>
  <c r="F8" i="3" s="1"/>
  <c r="F10" i="6"/>
  <c r="G10" i="6"/>
  <c r="C17" i="6"/>
  <c r="C18" i="6" s="1"/>
  <c r="C16" i="1" s="1"/>
  <c r="D17" i="6"/>
  <c r="E17" i="6"/>
  <c r="E18" i="6" s="1"/>
  <c r="E16" i="1" s="1"/>
  <c r="F17" i="6"/>
  <c r="F18" i="6" s="1"/>
  <c r="F16" i="1" s="1"/>
  <c r="G17" i="6"/>
  <c r="G18" i="6" s="1"/>
  <c r="G16" i="1" s="1"/>
  <c r="D18" i="6"/>
  <c r="D16" i="1" s="1"/>
  <c r="H13" i="2"/>
  <c r="H6" i="1"/>
  <c r="H8" i="1" s="1"/>
  <c r="G6" i="1"/>
  <c r="C13" i="5"/>
  <c r="F6" i="1" s="1"/>
  <c r="C30" i="2"/>
  <c r="D30" i="2" s="1"/>
  <c r="C27" i="2"/>
  <c r="C8" i="7" s="1"/>
  <c r="C9" i="7" s="1"/>
  <c r="C21" i="1" s="1"/>
  <c r="H8" i="3"/>
  <c r="E8" i="3"/>
  <c r="D8" i="3"/>
  <c r="C8" i="3"/>
  <c r="O17" i="4"/>
  <c r="M13" i="4"/>
  <c r="N13" i="4" s="1"/>
  <c r="M14" i="4"/>
  <c r="N14" i="4" s="1"/>
  <c r="M16" i="4"/>
  <c r="N16" i="4" s="1"/>
  <c r="M12" i="4"/>
  <c r="N12" i="4" s="1"/>
  <c r="M6" i="4"/>
  <c r="N6" i="4" s="1"/>
  <c r="M7" i="4"/>
  <c r="N7" i="4" s="1"/>
  <c r="M5" i="4"/>
  <c r="N5" i="4" s="1"/>
  <c r="L13" i="4"/>
  <c r="P13" i="4" s="1"/>
  <c r="L14" i="4"/>
  <c r="P14" i="4" s="1"/>
  <c r="L15" i="4"/>
  <c r="P15" i="4" s="1"/>
  <c r="L16" i="4"/>
  <c r="P16" i="4" s="1"/>
  <c r="L12" i="4"/>
  <c r="L6" i="4"/>
  <c r="P6" i="4" s="1"/>
  <c r="L7" i="4"/>
  <c r="P7" i="4" s="1"/>
  <c r="L8" i="4"/>
  <c r="P8" i="4" s="1"/>
  <c r="L9" i="4"/>
  <c r="P9" i="4" s="1"/>
  <c r="L5" i="4"/>
  <c r="H122" i="4"/>
  <c r="G122" i="4"/>
  <c r="H121" i="4"/>
  <c r="G121" i="4"/>
  <c r="H63" i="4"/>
  <c r="M9" i="4" s="1"/>
  <c r="N9" i="4" s="1"/>
  <c r="G63" i="4"/>
  <c r="H62" i="4"/>
  <c r="G62" i="4"/>
  <c r="C11" i="3" l="1"/>
  <c r="C17" i="3" s="1"/>
  <c r="C9" i="6"/>
  <c r="C10" i="6" s="1"/>
  <c r="C13" i="6"/>
  <c r="C14" i="6" s="1"/>
  <c r="D13" i="6"/>
  <c r="D14" i="6" s="1"/>
  <c r="E30" i="2"/>
  <c r="F30" i="2" s="1"/>
  <c r="G30" i="2" s="1"/>
  <c r="H11" i="8"/>
  <c r="D9" i="6"/>
  <c r="D10" i="6" s="1"/>
  <c r="C11" i="7"/>
  <c r="H16" i="1"/>
  <c r="H123" i="4"/>
  <c r="M15" i="4"/>
  <c r="N15" i="4" s="1"/>
  <c r="N17" i="4" s="1"/>
  <c r="M8" i="4"/>
  <c r="N8" i="4" s="1"/>
  <c r="N10" i="4" s="1"/>
  <c r="L10" i="4"/>
  <c r="G123" i="4"/>
  <c r="L17" i="4"/>
  <c r="P5" i="4"/>
  <c r="P10" i="4" s="1"/>
  <c r="P12" i="4"/>
  <c r="P17" i="4" s="1"/>
  <c r="J11" i="8" l="1"/>
  <c r="J12" i="8" s="1"/>
  <c r="I11" i="8"/>
  <c r="I12" i="8" s="1"/>
  <c r="H12" i="8"/>
  <c r="C24" i="5" s="1"/>
  <c r="M17" i="4"/>
  <c r="D27" i="2" l="1"/>
  <c r="D8" i="7" s="1"/>
  <c r="E13" i="6" l="1"/>
  <c r="E14" i="6" s="1"/>
  <c r="E9" i="6"/>
  <c r="E10" i="6" s="1"/>
  <c r="D9" i="7"/>
  <c r="D21" i="1" s="1"/>
  <c r="D23" i="1" s="1"/>
  <c r="D11" i="7"/>
  <c r="E27" i="2"/>
  <c r="E8" i="7" s="1"/>
  <c r="XEP8" i="3"/>
  <c r="K12" i="2"/>
  <c r="C27" i="1" s="1"/>
  <c r="H10" i="2"/>
  <c r="H7" i="2"/>
  <c r="G20" i="1"/>
  <c r="G14" i="1"/>
  <c r="F14" i="1"/>
  <c r="G13" i="6" l="1"/>
  <c r="G14" i="6" s="1"/>
  <c r="F13" i="6"/>
  <c r="F14" i="6" s="1"/>
  <c r="E9" i="7"/>
  <c r="E11" i="7"/>
  <c r="F27" i="2"/>
  <c r="D8" i="1"/>
  <c r="XEW9" i="1"/>
  <c r="C8" i="1"/>
  <c r="E21" i="1" l="1"/>
  <c r="E23" i="1" s="1"/>
  <c r="F9" i="7"/>
  <c r="G27" i="2"/>
  <c r="G8" i="7" s="1"/>
  <c r="F8" i="7"/>
  <c r="C19" i="3"/>
  <c r="C22" i="5" s="1"/>
  <c r="E8" i="1"/>
  <c r="G9" i="7" l="1"/>
  <c r="G21" i="1" s="1"/>
  <c r="G23" i="1" s="1"/>
  <c r="F21" i="1"/>
  <c r="F23" i="1" s="1"/>
  <c r="F11" i="7"/>
  <c r="G11" i="7"/>
  <c r="D20" i="1"/>
  <c r="E20" i="1"/>
  <c r="C20" i="1"/>
  <c r="F20" i="1"/>
  <c r="G8" i="1"/>
  <c r="F8" i="1"/>
  <c r="C14" i="1" l="1"/>
  <c r="C15" i="1"/>
  <c r="D15" i="1"/>
  <c r="E15" i="1"/>
  <c r="C18" i="1" l="1"/>
  <c r="H20" i="1"/>
  <c r="D14" i="1" l="1"/>
  <c r="F15" i="1"/>
  <c r="F18" i="1" s="1"/>
  <c r="G15" i="1"/>
  <c r="G18" i="1" s="1"/>
  <c r="E14" i="1"/>
  <c r="C25" i="1"/>
  <c r="E18" i="1" l="1"/>
  <c r="D18" i="1"/>
  <c r="G25" i="1"/>
  <c r="H15" i="1"/>
  <c r="H14" i="1"/>
  <c r="F25" i="1"/>
  <c r="H21" i="1"/>
  <c r="H23" i="1" s="1"/>
  <c r="H18" i="1" l="1"/>
  <c r="E25" i="1"/>
  <c r="D25" i="1" l="1"/>
  <c r="C28" i="1" s="1"/>
  <c r="C20" i="5" s="1"/>
  <c r="H25" i="1"/>
  <c r="C29" i="1" l="1"/>
  <c r="C30" i="1" s="1"/>
</calcChain>
</file>

<file path=xl/sharedStrings.xml><?xml version="1.0" encoding="utf-8"?>
<sst xmlns="http://schemas.openxmlformats.org/spreadsheetml/2006/main" count="464" uniqueCount="215">
  <si>
    <t>Residential Plot Area</t>
  </si>
  <si>
    <t>Year 1</t>
  </si>
  <si>
    <t>Year 2</t>
  </si>
  <si>
    <t>Year 3</t>
  </si>
  <si>
    <t>Year 4</t>
  </si>
  <si>
    <t>Year 5</t>
  </si>
  <si>
    <t>Soft Cost</t>
  </si>
  <si>
    <t>TOTAL</t>
  </si>
  <si>
    <t>Advance Sale Receipts</t>
  </si>
  <si>
    <t>Residential</t>
  </si>
  <si>
    <t>WACC</t>
  </si>
  <si>
    <t>Particulars</t>
  </si>
  <si>
    <t>NPV</t>
  </si>
  <si>
    <t>Inventory Sale Receipt</t>
  </si>
  <si>
    <t>Residual Value of Land</t>
  </si>
  <si>
    <t>(Projections in Crore)</t>
  </si>
  <si>
    <t>(Amount in Crore)</t>
  </si>
  <si>
    <t>Crore</t>
  </si>
  <si>
    <t>Reduction 
(Sq.ft.)</t>
  </si>
  <si>
    <t>Net Area 
(Sq. ft.)</t>
  </si>
  <si>
    <t>Salable Area (Sq. Ft.)</t>
  </si>
  <si>
    <t>Builder Profit @ 20%</t>
  </si>
  <si>
    <t>ADVANCE SALE RECEIPTS</t>
  </si>
  <si>
    <t>YEAR 1</t>
  </si>
  <si>
    <t>YEAR 2</t>
  </si>
  <si>
    <t>YEAR 3</t>
  </si>
  <si>
    <t>YEAR 4</t>
  </si>
  <si>
    <t>YEAR 5</t>
  </si>
  <si>
    <t>INVENTORY SALE RECEIPTS</t>
  </si>
  <si>
    <t>TOTAL ADVANCE SALE</t>
  </si>
  <si>
    <t>PARTICULARS</t>
  </si>
  <si>
    <t>-</t>
  </si>
  <si>
    <t>RATE ESCALATION</t>
  </si>
  <si>
    <t>CONSTRUCTION RATE</t>
  </si>
  <si>
    <t>RESIDENTIAL</t>
  </si>
  <si>
    <t>TOTAL OF ADVANCE SALE</t>
  </si>
  <si>
    <t>TOTAL OF INVENTORY SALE RECEIPTS</t>
  </si>
  <si>
    <t>OUTFLOW (CONSTRUCTION COST)</t>
  </si>
  <si>
    <t>INFLOW (REVENUE RECEIPTS)</t>
  </si>
  <si>
    <t>PROJECTIONS SUMMATION</t>
  </si>
  <si>
    <t>INFLOW ASSUMPTIONS</t>
  </si>
  <si>
    <t>OUTFLOW ASSUMPTIONS</t>
  </si>
  <si>
    <t>ASSUMPTIONS FOR CASH FLOW PROJECTIONS</t>
  </si>
  <si>
    <t>SOFT COST @ %GE OF CONSTRUCTION COST</t>
  </si>
  <si>
    <t>CONSTRUCTION COMPLETION RATE @ %GE OF FAR AREA</t>
  </si>
  <si>
    <t>RESIDENTIAL @ %GE OF SALABLE AREA</t>
  </si>
  <si>
    <t>CALCULATION OF WACC</t>
  </si>
  <si>
    <t>WEIGHT OF DEBT</t>
  </si>
  <si>
    <t>WEIGHT OF EQUITY</t>
  </si>
  <si>
    <t>COST OF DEBT</t>
  </si>
  <si>
    <t>COST OF EQUITY</t>
  </si>
  <si>
    <t>TAX RATE</t>
  </si>
  <si>
    <t>TOTAL INFLOW</t>
  </si>
  <si>
    <t>TOTAL OUTFLOW</t>
  </si>
  <si>
    <t>NET CASH FLOW</t>
  </si>
  <si>
    <t>RESIDUAL VALUE OF LAND</t>
  </si>
  <si>
    <t>MARKET PHASING</t>
  </si>
  <si>
    <r>
      <t xml:space="preserve">CASH FLOW PROJECTIONS FOR </t>
    </r>
    <r>
      <rPr>
        <b/>
        <u/>
        <sz val="16"/>
        <color rgb="FFFF0000"/>
        <rFont val="Calibri"/>
        <family val="2"/>
        <scheme val="minor"/>
      </rPr>
      <t>FILE NO. VIS (2022-23)-PL 265-204-389</t>
    </r>
  </si>
  <si>
    <t>Permissible FAR @ 2.475
(Sq. ft.)</t>
  </si>
  <si>
    <t>Plot Area
(Sq. mtr.)</t>
  </si>
  <si>
    <t>4 BHK Flat/Apartment for Sale in Maniktala, Kolkata - 2788 Sq-ft (magicbricks.com)</t>
  </si>
  <si>
    <t>Buy 3 BHK Flat/Apartment in Siddha Sky Circular Canal Area , Kolkata - 14th Floor | Posted by Owner (magicbricks.com)</t>
  </si>
  <si>
    <t>3 BHK Flat/Apartment for Sale in Bagmari, Kolkata - 1400 Sq-ft (magicbricks.com)</t>
  </si>
  <si>
    <t>3 BHK Flat/Apartment for Sale in Bagmari, Kolkata - 1500 Sq-ft (magicbricks.com)</t>
  </si>
  <si>
    <t>Property in Bagmari, Kolkata | 24+ Properties for Sale in Bagmari, Kolkata (magicbricks.com)</t>
  </si>
  <si>
    <t>Eden Tattvam in Bagmari - Price, Reviews &amp; Floor Plan (housing.com)</t>
  </si>
  <si>
    <t>1567 Sqft 4 BHK Apartment for sale in Tattvam | Bagmari, Kolkata | Property ID - 10020160 (housing.com)</t>
  </si>
  <si>
    <t>1382 Sqft 3 BHK Apartment for sale in Tattvam | Bagmari, Kolkata | Property ID - 9970085 (housing.com)</t>
  </si>
  <si>
    <t>Tower</t>
  </si>
  <si>
    <t>Floor</t>
  </si>
  <si>
    <t>Flat No</t>
  </si>
  <si>
    <t>Type</t>
  </si>
  <si>
    <t>BUA</t>
  </si>
  <si>
    <t>SBUA</t>
  </si>
  <si>
    <t>Tower 1</t>
  </si>
  <si>
    <t>3A</t>
  </si>
  <si>
    <t>2 BHK</t>
  </si>
  <si>
    <t>3D</t>
  </si>
  <si>
    <t>3 BHK</t>
  </si>
  <si>
    <t>4A</t>
  </si>
  <si>
    <t>4B</t>
  </si>
  <si>
    <t>4D</t>
  </si>
  <si>
    <t>5A</t>
  </si>
  <si>
    <t>5B</t>
  </si>
  <si>
    <t>5C</t>
  </si>
  <si>
    <t>4 BHK</t>
  </si>
  <si>
    <t>5D</t>
  </si>
  <si>
    <t>6A</t>
  </si>
  <si>
    <t>6B</t>
  </si>
  <si>
    <t>6C</t>
  </si>
  <si>
    <t>6D</t>
  </si>
  <si>
    <t>7A</t>
  </si>
  <si>
    <t>7B</t>
  </si>
  <si>
    <t>7C</t>
  </si>
  <si>
    <t>7D</t>
  </si>
  <si>
    <t>8A</t>
  </si>
  <si>
    <t>8B</t>
  </si>
  <si>
    <t>8C</t>
  </si>
  <si>
    <t>8D</t>
  </si>
  <si>
    <t>9A</t>
  </si>
  <si>
    <t>9B</t>
  </si>
  <si>
    <t>9C</t>
  </si>
  <si>
    <t>9D</t>
  </si>
  <si>
    <t>10A</t>
  </si>
  <si>
    <t>10B</t>
  </si>
  <si>
    <t>10C</t>
  </si>
  <si>
    <t>10D</t>
  </si>
  <si>
    <t>11A</t>
  </si>
  <si>
    <t>11B</t>
  </si>
  <si>
    <t>11C</t>
  </si>
  <si>
    <t>11D</t>
  </si>
  <si>
    <t>12A</t>
  </si>
  <si>
    <t>12B</t>
  </si>
  <si>
    <t>12C</t>
  </si>
  <si>
    <t>12D</t>
  </si>
  <si>
    <t>13A</t>
  </si>
  <si>
    <t>13B</t>
  </si>
  <si>
    <t>13C</t>
  </si>
  <si>
    <t>13D</t>
  </si>
  <si>
    <t>14A</t>
  </si>
  <si>
    <t>14B</t>
  </si>
  <si>
    <t>14C</t>
  </si>
  <si>
    <t>14D</t>
  </si>
  <si>
    <t>15A</t>
  </si>
  <si>
    <t>15B</t>
  </si>
  <si>
    <t>15C</t>
  </si>
  <si>
    <t>15D</t>
  </si>
  <si>
    <t>16A</t>
  </si>
  <si>
    <t>16B</t>
  </si>
  <si>
    <t>16C</t>
  </si>
  <si>
    <t>16D</t>
  </si>
  <si>
    <t>17A</t>
  </si>
  <si>
    <t>17D</t>
  </si>
  <si>
    <t>18A</t>
  </si>
  <si>
    <t>18D</t>
  </si>
  <si>
    <t>17 &amp; 18</t>
  </si>
  <si>
    <t>B</t>
  </si>
  <si>
    <t>4 BHK Duplex</t>
  </si>
  <si>
    <t>C</t>
  </si>
  <si>
    <t>5 BHK+Study</t>
  </si>
  <si>
    <t>Tower 2</t>
  </si>
  <si>
    <t>4C</t>
  </si>
  <si>
    <t>Total</t>
  </si>
  <si>
    <t>Sr. No.</t>
  </si>
  <si>
    <t>SUB TOTAL</t>
  </si>
  <si>
    <t>TOWER 2</t>
  </si>
  <si>
    <t>TOWER 1</t>
  </si>
  <si>
    <t>SOLD</t>
  </si>
  <si>
    <t>UNSOLD</t>
  </si>
  <si>
    <t>SALABLE AREA</t>
  </si>
  <si>
    <t>Area to be Constructed
(Sq. ft.)</t>
  </si>
  <si>
    <t>PROJECT INFORMATION</t>
  </si>
  <si>
    <t>PROJECT COORDINATES</t>
  </si>
  <si>
    <t>PROJECT ADDRESS</t>
  </si>
  <si>
    <t>22°35'00.9"N 88°23'03.0"E</t>
  </si>
  <si>
    <t>PROJECT NAME</t>
  </si>
  <si>
    <t>DEVELOPER NAME</t>
  </si>
  <si>
    <t>Premises No. 24A, Bagmari Road, Kolkata 700054</t>
  </si>
  <si>
    <t>"TATTVAM" Group Housing society</t>
  </si>
  <si>
    <t>M/s Piano Real estates LLP</t>
  </si>
  <si>
    <t>TOTAL DWELLING UNITS</t>
  </si>
  <si>
    <t>SALABLE AREA (SQ. FT.)</t>
  </si>
  <si>
    <t>AREA TO BE CONSTRUCTED (SQ. FT.)</t>
  </si>
  <si>
    <t>BASE CONSTRUCTION RATE (RS./PER SQ. FT.)</t>
  </si>
  <si>
    <t>BASE SALE RATE (RS./PER SQ. FT.)</t>
  </si>
  <si>
    <t>PROJECT VALUE (CR.)</t>
  </si>
  <si>
    <t>LAND AREA (SQ. MTR./COTTAH)</t>
  </si>
  <si>
    <t>118 Units in 2 Towers with 59 units respectively</t>
  </si>
  <si>
    <t>PERMISSIBLE FAR (SQ. FT.)</t>
  </si>
  <si>
    <t>CAR PARKING RECEIPTS</t>
  </si>
  <si>
    <t>CAR PARKING SALE RECEIPTS</t>
  </si>
  <si>
    <t>TOTAL OF CAR PARKING SALE RECEIPTS</t>
  </si>
  <si>
    <t>CAR PARKING</t>
  </si>
  <si>
    <t>CAR PARKING RATE (RS./NO.)</t>
  </si>
  <si>
    <t>PROJECT INFLOW SHEET</t>
  </si>
  <si>
    <t>PROJECT OUTFLOW SHEET</t>
  </si>
  <si>
    <t>Tota Outflow</t>
  </si>
  <si>
    <t>Sale from Car Parking</t>
  </si>
  <si>
    <t xml:space="preserve">Construction Cost </t>
  </si>
  <si>
    <r>
      <t xml:space="preserve">RESIDUAL WITHOUT NPV FOR </t>
    </r>
    <r>
      <rPr>
        <b/>
        <u/>
        <sz val="16"/>
        <color rgb="FFFF0000"/>
        <rFont val="Calibri"/>
        <family val="2"/>
        <scheme val="minor"/>
      </rPr>
      <t>FILE NO. VIS (2022-23)-PL 265-204-389</t>
    </r>
  </si>
  <si>
    <t>Approx. Salable Area</t>
  </si>
  <si>
    <t>LAND VALUE BY RESIDUAL VALUE (CR.)</t>
  </si>
  <si>
    <t>NUMBER OF COVERED CAR PARKING</t>
  </si>
  <si>
    <t>Location</t>
  </si>
  <si>
    <t>State</t>
  </si>
  <si>
    <t>Note:</t>
  </si>
  <si>
    <t>LAND FOR GROUP HOUSING PROJECT</t>
  </si>
  <si>
    <t>Municipal Premises No. 24A, Bagmari Road (Formerly portion of municipal premises No. 24, Bagmari Road)</t>
  </si>
  <si>
    <t>Area</t>
  </si>
  <si>
    <t>VALUATION OF PROJECT LAND BY SALES COMPARABLE METHOD|M/s. PIANO REAL ESTATE LLP|BAGMARI ROAD, KOLKATA, WEST BENGAL STATE</t>
  </si>
  <si>
    <t>LAND GUIDELINE VALUE (CR.)</t>
  </si>
  <si>
    <t>LAND MARKET VALUE BY SALES COMPARABLE (CR.)</t>
  </si>
  <si>
    <t>Group Housing Plot Area</t>
  </si>
  <si>
    <t>Proposed FAR @ 2.475
(Sq. ft.)</t>
  </si>
  <si>
    <t>5,265.98/78.72</t>
  </si>
  <si>
    <t>LAND VALUATION-BAGMARI, KOLKATA</t>
  </si>
  <si>
    <t>FAIR MARKET VALUE
 (INR)</t>
  </si>
  <si>
    <t>DISTRESS VALUE
(INR)</t>
  </si>
  <si>
    <t>REALISABLE VALUE 
(INR)</t>
  </si>
  <si>
    <t>MARKET VALUE OF LAND</t>
  </si>
  <si>
    <t>SR. NO.</t>
  </si>
  <si>
    <t>PARTICULAR</t>
  </si>
  <si>
    <t>LOCATION</t>
  </si>
  <si>
    <t>AREA
(SQ. MTR.)</t>
  </si>
  <si>
    <t>AREA
(COTTAHS)</t>
  </si>
  <si>
    <t>MARKET RATE ADOPTED FOR VALUATION
 (Rs. PER COTTAH)</t>
  </si>
  <si>
    <t>1. This Market value of Land is taken from the Property delaers or Local people in that area after counting in other important factors as well.</t>
  </si>
  <si>
    <t>2.All the details related to the land area has been taken from the approved building plan of the project.</t>
  </si>
  <si>
    <t>BAGMARI, KOLKATA</t>
  </si>
  <si>
    <t>WEST BENGAL</t>
  </si>
  <si>
    <t>APPROX. 79 COTTAHS</t>
  </si>
  <si>
    <t>REVENUE FROM SALE OF INVENTORY @ 7500 per Sq. ft.</t>
  </si>
  <si>
    <t>CONSTRUCTION COST @ 2000 per Sq. ft.</t>
  </si>
  <si>
    <t>SOFT COST @ 30% of CONSTRUCTION COST</t>
  </si>
  <si>
    <t>PROFIT @ 26% OF REVENUE FROM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</si>
</sst>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₹&quot;\ #,##0.00;[Red]&quot;₹&quot;\ \-#,##0.00"/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&quot;₹&quot;\ #,##0.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6"/>
      <color theme="4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u/>
      <sz val="16"/>
      <color theme="4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u/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8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 style="medium">
        <color theme="4" tint="-0.499984740745262"/>
      </top>
      <bottom style="medium">
        <color theme="4" tint="-0.499984740745262"/>
      </bottom>
      <diagonal/>
    </border>
    <border>
      <left style="double">
        <color theme="4" tint="-0.499984740745262"/>
      </left>
      <right style="double">
        <color theme="4" tint="-0.499984740745262"/>
      </right>
      <top style="double">
        <color theme="4" tint="-0.499984740745262"/>
      </top>
      <bottom style="double">
        <color theme="4" tint="-0.499984740745262"/>
      </bottom>
      <diagonal/>
    </border>
    <border>
      <left style="double">
        <color theme="4" tint="0.39994506668294322"/>
      </left>
      <right style="double">
        <color theme="4" tint="0.39994506668294322"/>
      </right>
      <top style="double">
        <color theme="4" tint="0.39994506668294322"/>
      </top>
      <bottom style="double">
        <color theme="4" tint="0.39994506668294322"/>
      </bottom>
      <diagonal/>
    </border>
    <border>
      <left style="double">
        <color theme="4" tint="-0.499984740745262"/>
      </left>
      <right style="double">
        <color theme="4" tint="-0.499984740745262"/>
      </right>
      <top/>
      <bottom style="double">
        <color theme="4" tint="-0.499984740745262"/>
      </bottom>
      <diagonal/>
    </border>
    <border>
      <left style="double">
        <color theme="4" tint="-0.499984740745262"/>
      </left>
      <right/>
      <top style="double">
        <color theme="4" tint="-0.499984740745262"/>
      </top>
      <bottom style="double">
        <color theme="4" tint="-0.499984740745262"/>
      </bottom>
      <diagonal/>
    </border>
    <border>
      <left/>
      <right/>
      <top style="double">
        <color theme="4" tint="-0.499984740745262"/>
      </top>
      <bottom style="double">
        <color theme="4" tint="-0.499984740745262"/>
      </bottom>
      <diagonal/>
    </border>
    <border>
      <left/>
      <right style="double">
        <color theme="4" tint="-0.499984740745262"/>
      </right>
      <top style="double">
        <color theme="4" tint="-0.499984740745262"/>
      </top>
      <bottom style="double">
        <color theme="4" tint="-0.499984740745262"/>
      </bottom>
      <diagonal/>
    </border>
    <border>
      <left style="double">
        <color theme="4" tint="0.79998168889431442"/>
      </left>
      <right style="double">
        <color theme="4" tint="0.79998168889431442"/>
      </right>
      <top style="double">
        <color theme="4" tint="0.79998168889431442"/>
      </top>
      <bottom style="double">
        <color theme="4" tint="0.79998168889431442"/>
      </bottom>
      <diagonal/>
    </border>
    <border>
      <left style="double">
        <color theme="4" tint="0.79998168889431442"/>
      </left>
      <right/>
      <top style="double">
        <color theme="4" tint="0.79998168889431442"/>
      </top>
      <bottom style="double">
        <color theme="4" tint="0.79998168889431442"/>
      </bottom>
      <diagonal/>
    </border>
    <border>
      <left/>
      <right/>
      <top style="double">
        <color theme="4" tint="0.79998168889431442"/>
      </top>
      <bottom style="double">
        <color theme="4" tint="0.79998168889431442"/>
      </bottom>
      <diagonal/>
    </border>
    <border>
      <left/>
      <right style="double">
        <color theme="4" tint="0.79998168889431442"/>
      </right>
      <top style="double">
        <color theme="4" tint="0.79998168889431442"/>
      </top>
      <bottom style="double">
        <color theme="4" tint="0.79998168889431442"/>
      </bottom>
      <diagonal/>
    </border>
    <border>
      <left/>
      <right/>
      <top style="medium">
        <color theme="4" tint="0.79998168889431442"/>
      </top>
      <bottom style="medium">
        <color theme="4" tint="0.79998168889431442"/>
      </bottom>
      <diagonal/>
    </border>
    <border>
      <left style="medium">
        <color theme="4" tint="0.59996337778862885"/>
      </left>
      <right style="medium">
        <color theme="4" tint="0.59996337778862885"/>
      </right>
      <top style="medium">
        <color theme="4" tint="0.59996337778862885"/>
      </top>
      <bottom style="medium">
        <color theme="4" tint="0.59996337778862885"/>
      </bottom>
      <diagonal/>
    </border>
    <border>
      <left style="medium">
        <color theme="4" tint="0.59996337778862885"/>
      </left>
      <right/>
      <top style="medium">
        <color theme="4" tint="0.59996337778862885"/>
      </top>
      <bottom style="medium">
        <color theme="4" tint="0.59996337778862885"/>
      </bottom>
      <diagonal/>
    </border>
    <border>
      <left/>
      <right style="medium">
        <color theme="4" tint="0.59996337778862885"/>
      </right>
      <top style="medium">
        <color theme="4" tint="0.59996337778862885"/>
      </top>
      <bottom style="medium">
        <color theme="4" tint="0.59996337778862885"/>
      </bottom>
      <diagonal/>
    </border>
    <border>
      <left style="medium">
        <color theme="8" tint="0.79998168889431442"/>
      </left>
      <right style="medium">
        <color theme="8" tint="0.79998168889431442"/>
      </right>
      <top style="medium">
        <color theme="8" tint="0.79998168889431442"/>
      </top>
      <bottom style="medium">
        <color theme="8" tint="0.79998168889431442"/>
      </bottom>
      <diagonal/>
    </border>
    <border>
      <left/>
      <right/>
      <top style="medium">
        <color theme="8" tint="0.79998168889431442"/>
      </top>
      <bottom style="medium">
        <color theme="8" tint="0.79998168889431442"/>
      </bottom>
      <diagonal/>
    </border>
    <border>
      <left style="double">
        <color theme="4" tint="0.39994506668294322"/>
      </left>
      <right/>
      <top/>
      <bottom/>
      <diagonal/>
    </border>
    <border>
      <left style="double">
        <color theme="8" tint="-0.24994659260841701"/>
      </left>
      <right style="double">
        <color theme="8" tint="-0.24994659260841701"/>
      </right>
      <top style="double">
        <color theme="8" tint="-0.24994659260841701"/>
      </top>
      <bottom style="double">
        <color theme="8" tint="-0.24994659260841701"/>
      </bottom>
      <diagonal/>
    </border>
    <border>
      <left style="double">
        <color theme="8" tint="-0.24994659260841701"/>
      </left>
      <right/>
      <top/>
      <bottom style="double">
        <color theme="8" tint="-0.24994659260841701"/>
      </bottom>
      <diagonal/>
    </border>
    <border>
      <left/>
      <right/>
      <top/>
      <bottom style="double">
        <color theme="8" tint="-0.24994659260841701"/>
      </bottom>
      <diagonal/>
    </border>
    <border>
      <left style="medium">
        <color theme="8" tint="-0.24994659260841701"/>
      </left>
      <right/>
      <top style="double">
        <color theme="8" tint="-0.24994659260841701"/>
      </top>
      <bottom style="medium">
        <color theme="8" tint="-0.24994659260841701"/>
      </bottom>
      <diagonal/>
    </border>
    <border>
      <left/>
      <right/>
      <top style="double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148">
    <xf numFmtId="0" fontId="0" fillId="0" borderId="0" xfId="0"/>
    <xf numFmtId="0" fontId="2" fillId="2" borderId="0" xfId="0" applyFont="1" applyFill="1"/>
    <xf numFmtId="0" fontId="0" fillId="2" borderId="0" xfId="0" applyFill="1"/>
    <xf numFmtId="2" fontId="0" fillId="2" borderId="0" xfId="0" applyNumberFormat="1" applyFill="1"/>
    <xf numFmtId="0" fontId="2" fillId="2" borderId="1" xfId="0" applyFont="1" applyFill="1" applyBorder="1"/>
    <xf numFmtId="0" fontId="2" fillId="4" borderId="1" xfId="0" applyFont="1" applyFill="1" applyBorder="1"/>
    <xf numFmtId="0" fontId="4" fillId="2" borderId="0" xfId="0" applyFont="1" applyFill="1"/>
    <xf numFmtId="0" fontId="2" fillId="2" borderId="2" xfId="0" applyFont="1" applyFill="1" applyBorder="1"/>
    <xf numFmtId="43" fontId="0" fillId="2" borderId="2" xfId="1" applyFont="1" applyFill="1" applyBorder="1"/>
    <xf numFmtId="0" fontId="2" fillId="4" borderId="2" xfId="0" applyFont="1" applyFill="1" applyBorder="1"/>
    <xf numFmtId="43" fontId="2" fillId="4" borderId="2" xfId="1" applyFont="1" applyFill="1" applyBorder="1"/>
    <xf numFmtId="0" fontId="0" fillId="2" borderId="0" xfId="0" applyFill="1" applyAlignment="1">
      <alignment wrapText="1"/>
    </xf>
    <xf numFmtId="43" fontId="0" fillId="2" borderId="2" xfId="1" applyFont="1" applyFill="1" applyBorder="1" applyAlignment="1">
      <alignment wrapText="1"/>
    </xf>
    <xf numFmtId="9" fontId="0" fillId="2" borderId="0" xfId="0" applyNumberFormat="1" applyFill="1"/>
    <xf numFmtId="0" fontId="2" fillId="5" borderId="2" xfId="0" applyFont="1" applyFill="1" applyBorder="1"/>
    <xf numFmtId="0" fontId="0" fillId="5" borderId="2" xfId="0" applyFill="1" applyBorder="1"/>
    <xf numFmtId="8" fontId="2" fillId="5" borderId="2" xfId="0" applyNumberFormat="1" applyFont="1" applyFill="1" applyBorder="1"/>
    <xf numFmtId="0" fontId="2" fillId="2" borderId="4" xfId="0" applyFont="1" applyFill="1" applyBorder="1"/>
    <xf numFmtId="0" fontId="2" fillId="2" borderId="4" xfId="0" applyFont="1" applyFill="1" applyBorder="1" applyAlignment="1">
      <alignment wrapText="1"/>
    </xf>
    <xf numFmtId="0" fontId="0" fillId="2" borderId="4" xfId="0" applyFill="1" applyBorder="1"/>
    <xf numFmtId="0" fontId="3" fillId="3" borderId="3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top" wrapText="1"/>
    </xf>
    <xf numFmtId="2" fontId="0" fillId="2" borderId="0" xfId="0" applyNumberFormat="1" applyFill="1" applyAlignment="1">
      <alignment wrapText="1"/>
    </xf>
    <xf numFmtId="8" fontId="0" fillId="2" borderId="0" xfId="0" applyNumberFormat="1" applyFill="1"/>
    <xf numFmtId="9" fontId="0" fillId="2" borderId="0" xfId="0" applyNumberFormat="1" applyFill="1" applyAlignment="1">
      <alignment horizontal="right" vertical="center"/>
    </xf>
    <xf numFmtId="43" fontId="0" fillId="2" borderId="2" xfId="1" applyFont="1" applyFill="1" applyBorder="1" applyAlignment="1">
      <alignment horizontal="center"/>
    </xf>
    <xf numFmtId="43" fontId="0" fillId="2" borderId="2" xfId="1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2" fillId="2" borderId="5" xfId="0" applyFont="1" applyFill="1" applyBorder="1" applyAlignment="1">
      <alignment horizontal="left"/>
    </xf>
    <xf numFmtId="43" fontId="0" fillId="2" borderId="0" xfId="0" applyNumberFormat="1" applyFill="1"/>
    <xf numFmtId="2" fontId="0" fillId="2" borderId="0" xfId="0" applyNumberFormat="1" applyFill="1" applyAlignment="1">
      <alignment horizontal="right" vertical="center"/>
    </xf>
    <xf numFmtId="2" fontId="2" fillId="2" borderId="0" xfId="0" applyNumberFormat="1" applyFont="1" applyFill="1" applyAlignment="1">
      <alignment horizontal="right" vertical="center" wrapText="1"/>
    </xf>
    <xf numFmtId="10" fontId="0" fillId="2" borderId="0" xfId="0" applyNumberFormat="1" applyFill="1" applyAlignment="1">
      <alignment horizontal="right" vertical="center"/>
    </xf>
    <xf numFmtId="9" fontId="0" fillId="2" borderId="0" xfId="2" applyFont="1" applyFill="1" applyAlignment="1">
      <alignment horizontal="right" vertical="center"/>
    </xf>
    <xf numFmtId="2" fontId="2" fillId="2" borderId="1" xfId="0" applyNumberFormat="1" applyFont="1" applyFill="1" applyBorder="1" applyAlignment="1">
      <alignment horizontal="right" vertical="center"/>
    </xf>
    <xf numFmtId="2" fontId="2" fillId="2" borderId="1" xfId="0" applyNumberFormat="1" applyFont="1" applyFill="1" applyBorder="1" applyAlignment="1">
      <alignment horizontal="right" vertical="center" wrapText="1"/>
    </xf>
    <xf numFmtId="2" fontId="2" fillId="4" borderId="1" xfId="0" applyNumberFormat="1" applyFont="1" applyFill="1" applyBorder="1" applyAlignment="1">
      <alignment horizontal="right" vertical="center"/>
    </xf>
    <xf numFmtId="2" fontId="2" fillId="4" borderId="1" xfId="0" applyNumberFormat="1" applyFont="1" applyFill="1" applyBorder="1" applyAlignment="1">
      <alignment horizontal="right" vertical="center" wrapText="1"/>
    </xf>
    <xf numFmtId="43" fontId="2" fillId="2" borderId="2" xfId="1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43" fontId="2" fillId="4" borderId="2" xfId="1" applyFont="1" applyFill="1" applyBorder="1" applyAlignment="1">
      <alignment horizontal="center"/>
    </xf>
    <xf numFmtId="0" fontId="3" fillId="3" borderId="0" xfId="0" applyFont="1" applyFill="1"/>
    <xf numFmtId="0" fontId="0" fillId="2" borderId="8" xfId="0" applyFill="1" applyBorder="1"/>
    <xf numFmtId="0" fontId="3" fillId="3" borderId="8" xfId="0" applyFont="1" applyFill="1" applyBorder="1"/>
    <xf numFmtId="9" fontId="0" fillId="2" borderId="8" xfId="0" applyNumberFormat="1" applyFill="1" applyBorder="1"/>
    <xf numFmtId="9" fontId="0" fillId="2" borderId="8" xfId="0" applyNumberFormat="1" applyFill="1" applyBorder="1" applyAlignment="1">
      <alignment horizontal="center"/>
    </xf>
    <xf numFmtId="0" fontId="2" fillId="2" borderId="8" xfId="0" applyFont="1" applyFill="1" applyBorder="1"/>
    <xf numFmtId="0" fontId="0" fillId="2" borderId="8" xfId="0" applyFill="1" applyBorder="1" applyAlignment="1">
      <alignment wrapText="1"/>
    </xf>
    <xf numFmtId="0" fontId="8" fillId="2" borderId="0" xfId="0" applyFont="1" applyFill="1"/>
    <xf numFmtId="9" fontId="0" fillId="5" borderId="2" xfId="0" applyNumberFormat="1" applyFill="1" applyBorder="1"/>
    <xf numFmtId="0" fontId="2" fillId="2" borderId="0" xfId="0" applyFont="1" applyFill="1" applyAlignment="1">
      <alignment horizontal="left" vertical="center" wrapText="1"/>
    </xf>
    <xf numFmtId="43" fontId="0" fillId="2" borderId="12" xfId="0" applyNumberFormat="1" applyFill="1" applyBorder="1"/>
    <xf numFmtId="43" fontId="3" fillId="3" borderId="0" xfId="0" applyNumberFormat="1" applyFont="1" applyFill="1"/>
    <xf numFmtId="0" fontId="3" fillId="3" borderId="8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left" vertical="center" wrapText="1"/>
    </xf>
    <xf numFmtId="9" fontId="0" fillId="2" borderId="8" xfId="0" applyNumberFormat="1" applyFill="1" applyBorder="1" applyAlignment="1">
      <alignment horizontal="center" vertical="center"/>
    </xf>
    <xf numFmtId="9" fontId="0" fillId="2" borderId="8" xfId="2" applyFont="1" applyFill="1" applyBorder="1" applyAlignment="1">
      <alignment horizontal="center" vertical="center"/>
    </xf>
    <xf numFmtId="0" fontId="11" fillId="0" borderId="0" xfId="3"/>
    <xf numFmtId="8" fontId="9" fillId="5" borderId="2" xfId="0" applyNumberFormat="1" applyFont="1" applyFill="1" applyBorder="1"/>
    <xf numFmtId="0" fontId="9" fillId="5" borderId="2" xfId="0" applyFont="1" applyFill="1" applyBorder="1"/>
    <xf numFmtId="0" fontId="12" fillId="5" borderId="2" xfId="0" applyFont="1" applyFill="1" applyBorder="1"/>
    <xf numFmtId="8" fontId="12" fillId="5" borderId="2" xfId="0" applyNumberFormat="1" applyFont="1" applyFill="1" applyBorder="1"/>
    <xf numFmtId="0" fontId="2" fillId="2" borderId="12" xfId="0" applyFont="1" applyFill="1" applyBorder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2" borderId="13" xfId="0" applyFill="1" applyBorder="1"/>
    <xf numFmtId="0" fontId="0" fillId="2" borderId="13" xfId="0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8" fillId="2" borderId="0" xfId="0" applyFont="1" applyFill="1" applyAlignment="1">
      <alignment horizontal="left" vertical="center"/>
    </xf>
    <xf numFmtId="0" fontId="2" fillId="4" borderId="13" xfId="0" applyFont="1" applyFill="1" applyBorder="1"/>
    <xf numFmtId="0" fontId="3" fillId="3" borderId="13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4" fontId="0" fillId="2" borderId="0" xfId="0" applyNumberFormat="1" applyFill="1" applyAlignment="1">
      <alignment horizontal="left"/>
    </xf>
    <xf numFmtId="0" fontId="0" fillId="4" borderId="16" xfId="0" applyFill="1" applyBorder="1"/>
    <xf numFmtId="0" fontId="0" fillId="4" borderId="16" xfId="0" applyFill="1" applyBorder="1" applyAlignment="1">
      <alignment horizontal="left"/>
    </xf>
    <xf numFmtId="4" fontId="0" fillId="4" borderId="16" xfId="0" applyNumberFormat="1" applyFill="1" applyBorder="1" applyAlignment="1">
      <alignment horizontal="left"/>
    </xf>
    <xf numFmtId="0" fontId="3" fillId="5" borderId="16" xfId="0" applyFont="1" applyFill="1" applyBorder="1"/>
    <xf numFmtId="0" fontId="3" fillId="2" borderId="0" xfId="0" applyFont="1" applyFill="1"/>
    <xf numFmtId="0" fontId="3" fillId="3" borderId="16" xfId="0" applyFont="1" applyFill="1" applyBorder="1"/>
    <xf numFmtId="0" fontId="3" fillId="2" borderId="17" xfId="0" applyFont="1" applyFill="1" applyBorder="1"/>
    <xf numFmtId="4" fontId="6" fillId="2" borderId="17" xfId="0" applyNumberFormat="1" applyFont="1" applyFill="1" applyBorder="1" applyAlignment="1">
      <alignment horizontal="left"/>
    </xf>
    <xf numFmtId="4" fontId="3" fillId="3" borderId="16" xfId="0" applyNumberFormat="1" applyFont="1" applyFill="1" applyBorder="1" applyAlignment="1">
      <alignment horizontal="left"/>
    </xf>
    <xf numFmtId="9" fontId="3" fillId="3" borderId="8" xfId="0" applyNumberFormat="1" applyFont="1" applyFill="1" applyBorder="1"/>
    <xf numFmtId="0" fontId="3" fillId="3" borderId="8" xfId="0" applyFont="1" applyFill="1" applyBorder="1" applyAlignment="1">
      <alignment horizontal="center" vertical="center"/>
    </xf>
    <xf numFmtId="1" fontId="0" fillId="2" borderId="8" xfId="0" applyNumberFormat="1" applyFill="1" applyBorder="1" applyAlignment="1">
      <alignment horizontal="center" vertical="center"/>
    </xf>
    <xf numFmtId="0" fontId="3" fillId="5" borderId="0" xfId="0" applyFont="1" applyFill="1"/>
    <xf numFmtId="3" fontId="0" fillId="4" borderId="0" xfId="0" applyNumberFormat="1" applyFill="1" applyAlignment="1">
      <alignment horizontal="left"/>
    </xf>
    <xf numFmtId="9" fontId="3" fillId="2" borderId="0" xfId="0" applyNumberFormat="1" applyFont="1" applyFill="1"/>
    <xf numFmtId="43" fontId="0" fillId="2" borderId="6" xfId="1" applyFont="1" applyFill="1" applyBorder="1" applyAlignment="1">
      <alignment horizontal="center" vertical="center"/>
    </xf>
    <xf numFmtId="0" fontId="0" fillId="2" borderId="2" xfId="0" applyFill="1" applyBorder="1"/>
    <xf numFmtId="0" fontId="18" fillId="2" borderId="0" xfId="0" applyFont="1" applyFill="1"/>
    <xf numFmtId="0" fontId="16" fillId="4" borderId="0" xfId="0" applyFont="1" applyFill="1"/>
    <xf numFmtId="0" fontId="2" fillId="4" borderId="0" xfId="0" applyFont="1" applyFill="1"/>
    <xf numFmtId="44" fontId="3" fillId="3" borderId="19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2" fontId="2" fillId="2" borderId="0" xfId="0" applyNumberFormat="1" applyFont="1" applyFill="1" applyAlignment="1">
      <alignment horizontal="center" vertical="center"/>
    </xf>
    <xf numFmtId="44" fontId="2" fillId="2" borderId="0" xfId="0" applyNumberFormat="1" applyFont="1" applyFill="1" applyAlignment="1">
      <alignment horizontal="center" vertical="center"/>
    </xf>
    <xf numFmtId="0" fontId="0" fillId="0" borderId="19" xfId="0" applyBorder="1" applyAlignment="1">
      <alignment vertical="center" wrapText="1"/>
    </xf>
    <xf numFmtId="164" fontId="2" fillId="4" borderId="19" xfId="0" applyNumberFormat="1" applyFont="1" applyFill="1" applyBorder="1" applyAlignment="1">
      <alignment horizontal="center" vertical="center"/>
    </xf>
    <xf numFmtId="164" fontId="0" fillId="0" borderId="19" xfId="0" applyNumberFormat="1" applyBorder="1" applyAlignment="1">
      <alignment horizontal="center" vertical="center"/>
    </xf>
    <xf numFmtId="3" fontId="0" fillId="2" borderId="13" xfId="0" applyNumberFormat="1" applyFill="1" applyBorder="1" applyAlignment="1">
      <alignment horizontal="center" vertical="center"/>
    </xf>
    <xf numFmtId="3" fontId="13" fillId="2" borderId="13" xfId="1" applyNumberFormat="1" applyFont="1" applyFill="1" applyBorder="1" applyAlignment="1">
      <alignment horizontal="center" vertical="center"/>
    </xf>
    <xf numFmtId="4" fontId="0" fillId="0" borderId="19" xfId="1" applyNumberFormat="1" applyFont="1" applyBorder="1" applyAlignment="1">
      <alignment horizontal="center" vertical="center"/>
    </xf>
    <xf numFmtId="4" fontId="2" fillId="4" borderId="19" xfId="0" applyNumberFormat="1" applyFont="1" applyFill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3" fontId="2" fillId="4" borderId="19" xfId="0" applyNumberFormat="1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/>
    </xf>
    <xf numFmtId="0" fontId="3" fillId="3" borderId="8" xfId="0" applyFont="1" applyFill="1" applyBorder="1" applyAlignment="1">
      <alignment horizontal="center"/>
    </xf>
    <xf numFmtId="0" fontId="5" fillId="2" borderId="0" xfId="0" applyFont="1" applyFill="1" applyAlignment="1">
      <alignment horizontal="right"/>
    </xf>
    <xf numFmtId="0" fontId="15" fillId="6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3" fillId="2" borderId="13" xfId="0" applyFont="1" applyFill="1" applyBorder="1" applyAlignment="1">
      <alignment horizontal="center"/>
    </xf>
    <xf numFmtId="0" fontId="0" fillId="2" borderId="13" xfId="0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0" fontId="17" fillId="2" borderId="0" xfId="0" applyFont="1" applyFill="1" applyAlignment="1">
      <alignment horizontal="left"/>
    </xf>
    <xf numFmtId="0" fontId="2" fillId="4" borderId="19" xfId="0" applyFont="1" applyFill="1" applyBorder="1" applyAlignment="1">
      <alignment horizontal="center"/>
    </xf>
    <xf numFmtId="0" fontId="21" fillId="3" borderId="20" xfId="0" applyFont="1" applyFill="1" applyBorder="1" applyAlignment="1">
      <alignment horizontal="center" vertical="center"/>
    </xf>
    <xf numFmtId="0" fontId="21" fillId="3" borderId="21" xfId="0" applyFont="1" applyFill="1" applyBorder="1" applyAlignment="1">
      <alignment horizontal="center" vertical="center"/>
    </xf>
    <xf numFmtId="0" fontId="19" fillId="3" borderId="20" xfId="0" applyFont="1" applyFill="1" applyBorder="1" applyAlignment="1">
      <alignment horizontal="center" vertical="center"/>
    </xf>
    <xf numFmtId="0" fontId="19" fillId="3" borderId="21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left" vertical="center"/>
    </xf>
    <xf numFmtId="0" fontId="20" fillId="2" borderId="23" xfId="0" applyFont="1" applyFill="1" applyBorder="1" applyAlignment="1">
      <alignment horizontal="left" vertical="center"/>
    </xf>
    <xf numFmtId="0" fontId="20" fillId="2" borderId="24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/>
    <xf numFmtId="0" fontId="2" fillId="2" borderId="6" xfId="0" applyFont="1" applyFill="1" applyBorder="1" applyAlignment="1"/>
    <xf numFmtId="0" fontId="2" fillId="2" borderId="7" xfId="0" applyFont="1" applyFill="1" applyBorder="1" applyAlignment="1"/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30</xdr:row>
      <xdr:rowOff>123825</xdr:rowOff>
    </xdr:from>
    <xdr:to>
      <xdr:col>6</xdr:col>
      <xdr:colOff>657225</xdr:colOff>
      <xdr:row>42</xdr:row>
      <xdr:rowOff>57461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4E654D-401B-DB7B-C8CA-C483F86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800850"/>
          <a:ext cx="5848350" cy="222916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45</xdr:row>
      <xdr:rowOff>0</xdr:rowOff>
    </xdr:from>
    <xdr:to>
      <xdr:col>6</xdr:col>
      <xdr:colOff>581026</xdr:colOff>
      <xdr:row>57</xdr:row>
      <xdr:rowOff>28898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26DFA3F-C3F2-E35E-12C7-8DDFF53E8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10287000"/>
          <a:ext cx="5753100" cy="23148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10</xdr:col>
      <xdr:colOff>553813</xdr:colOff>
      <xdr:row>71</xdr:row>
      <xdr:rowOff>86029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DBC568-D609-7A10-8ED9-C3FDF7AF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3144500"/>
          <a:ext cx="9764488" cy="21815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10</xdr:col>
      <xdr:colOff>563339</xdr:colOff>
      <xdr:row>85</xdr:row>
      <xdr:rowOff>66977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80795D5-101D-105A-B3AB-72B487E5C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5811500"/>
          <a:ext cx="9774014" cy="21624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11</xdr:col>
      <xdr:colOff>1376</xdr:colOff>
      <xdr:row>102</xdr:row>
      <xdr:rowOff>19425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EE4786C-E283-F741-939E-067035C8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8478500"/>
          <a:ext cx="9859751" cy="2686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10</xdr:col>
      <xdr:colOff>439497</xdr:colOff>
      <xdr:row>117</xdr:row>
      <xdr:rowOff>19372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80EFCCB-5BB6-1312-4A9B-6B951CD10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1717000"/>
          <a:ext cx="9650172" cy="23053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7</xdr:col>
      <xdr:colOff>982034</xdr:colOff>
      <xdr:row>134</xdr:row>
      <xdr:rowOff>95636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4BBD3C6-6D7D-4D87-C07A-B4CDFD6FC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4574500"/>
          <a:ext cx="6868484" cy="27626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7</xdr:col>
      <xdr:colOff>1020139</xdr:colOff>
      <xdr:row>150</xdr:row>
      <xdr:rowOff>181346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2718812-D67C-AE0F-5980-B25E4B96F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813000"/>
          <a:ext cx="6906589" cy="26578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7</xdr:col>
      <xdr:colOff>962981</xdr:colOff>
      <xdr:row>167</xdr:row>
      <xdr:rowOff>143241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301C048-7687-E252-93E3-BE88AEA98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1051500"/>
          <a:ext cx="6849431" cy="26197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485774</xdr:colOff>
      <xdr:row>34</xdr:row>
      <xdr:rowOff>90954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9C3A8B-301F-FA48-8259-EC4F573A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3724" cy="65679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housing.com/buy-1567-sqft-4-bhk-apartment-in-bagmari-for-rs-13600000-rid-10020160" TargetMode="External"/><Relationship Id="rId3" Type="http://schemas.openxmlformats.org/officeDocument/2006/relationships/hyperlink" Target="https://www.magicbricks.com/propertyDetails/3-BHK-1400-Sq-ft-Multistorey-Apartment-FOR-Sale-Bagmari-in-Kolkata&amp;id=4d423632353838363139" TargetMode="External"/><Relationship Id="rId7" Type="http://schemas.openxmlformats.org/officeDocument/2006/relationships/hyperlink" Target="https://housing.com/buy-tattvam-by-eden-group-in-bagmari-kolkata-pid-282922" TargetMode="External"/><Relationship Id="rId2" Type="http://schemas.openxmlformats.org/officeDocument/2006/relationships/hyperlink" Target="https://www.magicbricks.com/propertyDetails/3-BHK-1690-Sq-ft-Multistorey-Apartment-FOR-Sale-Circular-Canal-Area-in-Kolkata&amp;id=4d423633383831333939" TargetMode="External"/><Relationship Id="rId1" Type="http://schemas.openxmlformats.org/officeDocument/2006/relationships/hyperlink" Target="https://www.magicbricks.com/propertyDetails/4-BHK-2788-Sq-ft-Multistorey-Apartment-FOR-Sale-Bagmari-in-Kolkata&amp;id=4d423630393432303539" TargetMode="External"/><Relationship Id="rId6" Type="http://schemas.openxmlformats.org/officeDocument/2006/relationships/hyperlink" Target="https://www.magicbricks.com/propertyDetails/3-BHK-1400-Sq-ft-Multistorey-Apartment-FOR-Sale-Bagmari-in-Kolkata&amp;id=4d423632353838373637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magicbricks.com/property-for-sale-in-bagmari-kolkata-pppfs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magicbricks.com/propertyDetails/3-BHK-1500-Sq-ft-Multistorey-Apartment-FOR-Sale-Bagmari-in-Kolkata&amp;id=4d423539363930393933" TargetMode="External"/><Relationship Id="rId9" Type="http://schemas.openxmlformats.org/officeDocument/2006/relationships/hyperlink" Target="https://housing.com/buy-1382-sqft-3-bhk-apartment-in-bagmari-for-rs-11100000-rid-9970085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FF21C-309F-43B3-8BD0-FAC83634AFB0}">
  <sheetPr>
    <tabColor theme="7" tint="0.39997558519241921"/>
  </sheetPr>
  <dimension ref="B2:C26"/>
  <sheetViews>
    <sheetView workbookViewId="0"/>
  </sheetViews>
  <sheetFormatPr defaultRowHeight="15" x14ac:dyDescent="0.25"/>
  <cols>
    <col min="1" max="1" width="2" style="2" customWidth="1"/>
    <col min="2" max="2" width="47" style="2" bestFit="1" customWidth="1"/>
    <col min="3" max="3" width="44.5703125" style="2" bestFit="1" customWidth="1"/>
    <col min="4" max="4" width="15" style="2" bestFit="1" customWidth="1"/>
    <col min="5" max="16384" width="9.140625" style="2"/>
  </cols>
  <sheetData>
    <row r="2" spans="2:3" ht="23.25" x14ac:dyDescent="0.25">
      <c r="B2" s="115" t="s">
        <v>151</v>
      </c>
      <c r="C2" s="115"/>
    </row>
    <row r="3" spans="2:3" ht="15.75" thickBot="1" x14ac:dyDescent="0.3"/>
    <row r="4" spans="2:3" ht="15.75" thickBot="1" x14ac:dyDescent="0.3">
      <c r="B4" s="82" t="s">
        <v>155</v>
      </c>
      <c r="C4" s="79" t="s">
        <v>158</v>
      </c>
    </row>
    <row r="5" spans="2:3" ht="15.75" thickBot="1" x14ac:dyDescent="0.3">
      <c r="B5" s="82" t="s">
        <v>156</v>
      </c>
      <c r="C5" s="79" t="s">
        <v>159</v>
      </c>
    </row>
    <row r="6" spans="2:3" ht="15.75" thickBot="1" x14ac:dyDescent="0.3">
      <c r="B6" s="82" t="s">
        <v>166</v>
      </c>
      <c r="C6" s="81" t="s">
        <v>194</v>
      </c>
    </row>
    <row r="7" spans="2:3" ht="15.75" thickBot="1" x14ac:dyDescent="0.3">
      <c r="B7" s="82" t="s">
        <v>152</v>
      </c>
      <c r="C7" s="80" t="s">
        <v>154</v>
      </c>
    </row>
    <row r="8" spans="2:3" ht="15.75" thickBot="1" x14ac:dyDescent="0.3">
      <c r="B8" s="82" t="s">
        <v>153</v>
      </c>
      <c r="C8" s="79" t="s">
        <v>157</v>
      </c>
    </row>
    <row r="9" spans="2:3" ht="15.75" thickBot="1" x14ac:dyDescent="0.3">
      <c r="B9" s="83"/>
    </row>
    <row r="10" spans="2:3" ht="15.75" thickBot="1" x14ac:dyDescent="0.3">
      <c r="B10" s="82" t="s">
        <v>160</v>
      </c>
      <c r="C10" s="79" t="s">
        <v>167</v>
      </c>
    </row>
    <row r="11" spans="2:3" ht="15.75" thickBot="1" x14ac:dyDescent="0.3">
      <c r="B11" s="82" t="s">
        <v>161</v>
      </c>
      <c r="C11" s="81">
        <v>175220</v>
      </c>
    </row>
    <row r="12" spans="2:3" ht="15.75" thickBot="1" x14ac:dyDescent="0.3">
      <c r="B12" s="82" t="s">
        <v>162</v>
      </c>
      <c r="C12" s="81">
        <v>206986.55</v>
      </c>
    </row>
    <row r="13" spans="2:3" ht="15.75" thickBot="1" x14ac:dyDescent="0.3">
      <c r="B13" s="82" t="s">
        <v>168</v>
      </c>
      <c r="C13" s="81">
        <f>13033.173*10.7639</f>
        <v>140287.77085470001</v>
      </c>
    </row>
    <row r="14" spans="2:3" x14ac:dyDescent="0.25">
      <c r="B14" s="91" t="s">
        <v>182</v>
      </c>
      <c r="C14" s="92">
        <v>112</v>
      </c>
    </row>
    <row r="15" spans="2:3" ht="15.75" thickBot="1" x14ac:dyDescent="0.3">
      <c r="B15" s="83"/>
    </row>
    <row r="16" spans="2:3" ht="15.75" thickBot="1" x14ac:dyDescent="0.3">
      <c r="B16" s="82" t="s">
        <v>163</v>
      </c>
      <c r="C16" s="81">
        <v>1850</v>
      </c>
    </row>
    <row r="17" spans="2:3" ht="15.75" thickBot="1" x14ac:dyDescent="0.3">
      <c r="B17" s="82" t="s">
        <v>164</v>
      </c>
      <c r="C17" s="81">
        <v>7500</v>
      </c>
    </row>
    <row r="18" spans="2:3" ht="15.75" thickBot="1" x14ac:dyDescent="0.3">
      <c r="B18" s="91" t="s">
        <v>173</v>
      </c>
      <c r="C18" s="81">
        <v>500000</v>
      </c>
    </row>
    <row r="19" spans="2:3" ht="15.75" thickBot="1" x14ac:dyDescent="0.3">
      <c r="B19" s="83"/>
      <c r="C19" s="78"/>
    </row>
    <row r="20" spans="2:3" ht="15.75" thickBot="1" x14ac:dyDescent="0.3">
      <c r="B20" s="84" t="s">
        <v>165</v>
      </c>
      <c r="C20" s="87">
        <f>'DCF Model'!C28</f>
        <v>62.095960304714076</v>
      </c>
    </row>
    <row r="21" spans="2:3" ht="15.75" thickBot="1" x14ac:dyDescent="0.3">
      <c r="B21" s="85"/>
      <c r="C21" s="86"/>
    </row>
    <row r="22" spans="2:3" ht="15.75" thickBot="1" x14ac:dyDescent="0.3">
      <c r="B22" s="84" t="s">
        <v>181</v>
      </c>
      <c r="C22" s="87">
        <f>'Res. Method of Val. (WO NPV)'!C19/10^7</f>
        <v>32.667296399999998</v>
      </c>
    </row>
    <row r="23" spans="2:3" ht="15.75" thickBot="1" x14ac:dyDescent="0.3"/>
    <row r="24" spans="2:3" ht="15.75" thickBot="1" x14ac:dyDescent="0.3">
      <c r="B24" s="84" t="s">
        <v>191</v>
      </c>
      <c r="C24" s="87">
        <f>'Land Valuation (Market)'!H12/10000000</f>
        <v>23.696909999999995</v>
      </c>
    </row>
    <row r="25" spans="2:3" ht="15.75" thickBot="1" x14ac:dyDescent="0.3"/>
    <row r="26" spans="2:3" ht="15.75" thickBot="1" x14ac:dyDescent="0.3">
      <c r="B26" s="84" t="s">
        <v>190</v>
      </c>
      <c r="C26" s="87">
        <f>320758438/10^7</f>
        <v>32.075843800000001</v>
      </c>
    </row>
  </sheetData>
  <mergeCells count="1">
    <mergeCell ref="B2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B2:K170"/>
  <sheetViews>
    <sheetView tabSelected="1" workbookViewId="0">
      <selection activeCell="B4" sqref="B4:H4"/>
    </sheetView>
  </sheetViews>
  <sheetFormatPr defaultRowHeight="15" x14ac:dyDescent="0.25"/>
  <cols>
    <col min="1" max="1" width="2" style="2" customWidth="1"/>
    <col min="2" max="2" width="36.7109375" style="2" customWidth="1"/>
    <col min="3" max="4" width="9.7109375" style="2" bestFit="1" customWidth="1"/>
    <col min="5" max="7" width="10.7109375" style="2" bestFit="1" customWidth="1"/>
    <col min="8" max="8" width="20.5703125" style="2" bestFit="1" customWidth="1"/>
    <col min="9" max="9" width="9.140625" style="2"/>
    <col min="10" max="10" width="20.140625" style="2" bestFit="1" customWidth="1"/>
    <col min="11" max="12" width="9.7109375" style="2" bestFit="1" customWidth="1"/>
    <col min="13" max="13" width="10.7109375" style="2" bestFit="1" customWidth="1"/>
    <col min="14" max="16384" width="9.140625" style="2"/>
  </cols>
  <sheetData>
    <row r="2" spans="2:11" ht="21" x14ac:dyDescent="0.35">
      <c r="B2" s="51" t="s">
        <v>42</v>
      </c>
    </row>
    <row r="3" spans="2:11" ht="15.75" thickBot="1" x14ac:dyDescent="0.3"/>
    <row r="4" spans="2:11" ht="16.5" thickTop="1" thickBot="1" x14ac:dyDescent="0.3">
      <c r="B4" s="125" t="s">
        <v>40</v>
      </c>
      <c r="C4" s="125"/>
      <c r="D4" s="125"/>
      <c r="E4" s="125"/>
      <c r="F4" s="125"/>
      <c r="G4" s="125"/>
      <c r="H4" s="125"/>
      <c r="J4" s="125" t="s">
        <v>46</v>
      </c>
      <c r="K4" s="125"/>
    </row>
    <row r="5" spans="2:11" ht="16.5" thickTop="1" thickBot="1" x14ac:dyDescent="0.3">
      <c r="B5" s="116"/>
      <c r="C5" s="117"/>
      <c r="D5" s="117"/>
      <c r="E5" s="117"/>
      <c r="F5" s="117"/>
      <c r="G5" s="117"/>
      <c r="H5" s="118"/>
      <c r="J5" s="116"/>
      <c r="K5" s="118"/>
    </row>
    <row r="6" spans="2:11" ht="16.5" thickTop="1" thickBot="1" x14ac:dyDescent="0.3">
      <c r="B6" s="46" t="s">
        <v>22</v>
      </c>
      <c r="C6" s="46" t="s">
        <v>23</v>
      </c>
      <c r="D6" s="46" t="s">
        <v>24</v>
      </c>
      <c r="E6" s="46" t="s">
        <v>25</v>
      </c>
      <c r="F6" s="46" t="s">
        <v>26</v>
      </c>
      <c r="G6" s="46" t="s">
        <v>27</v>
      </c>
      <c r="H6" s="46" t="s">
        <v>29</v>
      </c>
      <c r="J6" s="49" t="s">
        <v>47</v>
      </c>
      <c r="K6" s="47">
        <v>0.7</v>
      </c>
    </row>
    <row r="7" spans="2:11" ht="16.5" thickTop="1" thickBot="1" x14ac:dyDescent="0.3">
      <c r="B7" s="45" t="s">
        <v>45</v>
      </c>
      <c r="C7" s="47">
        <v>0.05</v>
      </c>
      <c r="D7" s="47">
        <v>0.05</v>
      </c>
      <c r="E7" s="47">
        <v>0.05</v>
      </c>
      <c r="F7" s="48" t="s">
        <v>31</v>
      </c>
      <c r="G7" s="48" t="s">
        <v>31</v>
      </c>
      <c r="H7" s="47">
        <f>SUM(C7:G7)</f>
        <v>0.15000000000000002</v>
      </c>
      <c r="J7" s="49" t="s">
        <v>48</v>
      </c>
      <c r="K7" s="47">
        <v>0.3</v>
      </c>
    </row>
    <row r="8" spans="2:11" ht="16.5" thickTop="1" thickBot="1" x14ac:dyDescent="0.3">
      <c r="B8" s="45"/>
      <c r="C8" s="47"/>
      <c r="D8" s="47"/>
      <c r="E8" s="47"/>
      <c r="F8" s="48"/>
      <c r="G8" s="48"/>
      <c r="H8" s="47"/>
      <c r="J8" s="49" t="s">
        <v>49</v>
      </c>
      <c r="K8" s="47">
        <v>0.12</v>
      </c>
    </row>
    <row r="9" spans="2:11" ht="16.5" thickTop="1" thickBot="1" x14ac:dyDescent="0.3">
      <c r="B9" s="46" t="s">
        <v>28</v>
      </c>
      <c r="C9" s="46" t="s">
        <v>23</v>
      </c>
      <c r="D9" s="46" t="s">
        <v>24</v>
      </c>
      <c r="E9" s="46" t="s">
        <v>25</v>
      </c>
      <c r="F9" s="46" t="s">
        <v>26</v>
      </c>
      <c r="G9" s="46" t="s">
        <v>27</v>
      </c>
      <c r="H9" s="46" t="s">
        <v>29</v>
      </c>
      <c r="J9" s="49" t="s">
        <v>50</v>
      </c>
      <c r="K9" s="47">
        <v>0.25</v>
      </c>
    </row>
    <row r="10" spans="2:11" ht="16.5" thickTop="1" thickBot="1" x14ac:dyDescent="0.3">
      <c r="B10" s="45" t="s">
        <v>45</v>
      </c>
      <c r="C10" s="47">
        <v>0</v>
      </c>
      <c r="D10" s="47">
        <v>0.1</v>
      </c>
      <c r="E10" s="47">
        <v>0.15</v>
      </c>
      <c r="F10" s="47">
        <v>0.3</v>
      </c>
      <c r="G10" s="47">
        <v>0.3</v>
      </c>
      <c r="H10" s="47">
        <f>SUM(C10:G10)</f>
        <v>0.85000000000000009</v>
      </c>
      <c r="J10" s="49" t="s">
        <v>51</v>
      </c>
      <c r="K10" s="47">
        <v>0.3</v>
      </c>
    </row>
    <row r="11" spans="2:11" ht="16.5" thickTop="1" thickBot="1" x14ac:dyDescent="0.3">
      <c r="B11" s="45"/>
      <c r="C11" s="47"/>
      <c r="D11" s="47"/>
      <c r="E11" s="47"/>
      <c r="F11" s="48"/>
      <c r="G11" s="48"/>
      <c r="H11" s="47"/>
      <c r="J11" s="45"/>
      <c r="K11" s="45"/>
    </row>
    <row r="12" spans="2:11" ht="16.5" thickTop="1" thickBot="1" x14ac:dyDescent="0.3">
      <c r="B12" s="46" t="s">
        <v>169</v>
      </c>
      <c r="C12" s="46" t="s">
        <v>23</v>
      </c>
      <c r="D12" s="46" t="s">
        <v>24</v>
      </c>
      <c r="E12" s="46" t="s">
        <v>25</v>
      </c>
      <c r="F12" s="46" t="s">
        <v>26</v>
      </c>
      <c r="G12" s="46" t="s">
        <v>27</v>
      </c>
      <c r="H12" s="46" t="s">
        <v>29</v>
      </c>
      <c r="J12" s="46" t="s">
        <v>10</v>
      </c>
      <c r="K12" s="88">
        <f>((K7*K9)+(K6*K8)*(1-K10))</f>
        <v>0.13379999999999997</v>
      </c>
    </row>
    <row r="13" spans="2:11" ht="16.5" thickTop="1" thickBot="1" x14ac:dyDescent="0.3">
      <c r="B13" s="45" t="s">
        <v>45</v>
      </c>
      <c r="C13" s="47">
        <v>0</v>
      </c>
      <c r="D13" s="47">
        <v>0.1</v>
      </c>
      <c r="E13" s="47">
        <v>0.1</v>
      </c>
      <c r="F13" s="47">
        <v>0.4</v>
      </c>
      <c r="G13" s="47">
        <v>0.4</v>
      </c>
      <c r="H13" s="47">
        <f>SUM(C13:G13)</f>
        <v>1</v>
      </c>
      <c r="J13" s="83"/>
      <c r="K13" s="93"/>
    </row>
    <row r="14" spans="2:11" ht="15.75" thickTop="1" x14ac:dyDescent="0.25">
      <c r="C14" s="13"/>
      <c r="D14" s="13"/>
      <c r="E14" s="13"/>
      <c r="F14" s="13"/>
      <c r="G14" s="13"/>
      <c r="H14" s="13"/>
      <c r="J14" s="83"/>
      <c r="K14" s="93"/>
    </row>
    <row r="15" spans="2:11" ht="15.75" thickBot="1" x14ac:dyDescent="0.3">
      <c r="C15" s="13"/>
      <c r="D15" s="13"/>
      <c r="E15" s="13"/>
      <c r="F15" s="13"/>
      <c r="G15" s="13"/>
      <c r="H15" s="13"/>
      <c r="J15" s="83"/>
      <c r="K15" s="93"/>
    </row>
    <row r="16" spans="2:11" ht="16.5" thickTop="1" thickBot="1" x14ac:dyDescent="0.3">
      <c r="B16" s="125" t="s">
        <v>41</v>
      </c>
      <c r="C16" s="125"/>
      <c r="D16" s="125"/>
      <c r="E16" s="125"/>
      <c r="F16" s="125"/>
      <c r="G16" s="125"/>
    </row>
    <row r="17" spans="2:8" ht="16.5" thickTop="1" thickBot="1" x14ac:dyDescent="0.3">
      <c r="B17" s="116"/>
      <c r="C17" s="117"/>
      <c r="D17" s="117"/>
      <c r="E17" s="117"/>
      <c r="F17" s="117"/>
      <c r="G17" s="118"/>
    </row>
    <row r="18" spans="2:8" ht="16.5" thickTop="1" thickBot="1" x14ac:dyDescent="0.3">
      <c r="B18" s="46" t="s">
        <v>30</v>
      </c>
      <c r="C18" s="56" t="s">
        <v>23</v>
      </c>
      <c r="D18" s="56" t="s">
        <v>24</v>
      </c>
      <c r="E18" s="56" t="s">
        <v>25</v>
      </c>
      <c r="F18" s="56" t="s">
        <v>26</v>
      </c>
      <c r="G18" s="56" t="s">
        <v>27</v>
      </c>
    </row>
    <row r="19" spans="2:8" ht="31.5" thickTop="1" thickBot="1" x14ac:dyDescent="0.3">
      <c r="B19" s="50" t="s">
        <v>44</v>
      </c>
      <c r="C19" s="58">
        <v>0.4</v>
      </c>
      <c r="D19" s="58">
        <v>0.4</v>
      </c>
      <c r="E19" s="58">
        <v>0.2</v>
      </c>
      <c r="F19" s="58">
        <v>0</v>
      </c>
      <c r="G19" s="58">
        <v>0</v>
      </c>
      <c r="H19" s="26"/>
    </row>
    <row r="20" spans="2:8" ht="16.5" thickTop="1" thickBot="1" x14ac:dyDescent="0.3">
      <c r="B20" s="116"/>
      <c r="C20" s="117"/>
      <c r="D20" s="117"/>
      <c r="E20" s="117"/>
      <c r="F20" s="117"/>
      <c r="G20" s="118"/>
    </row>
    <row r="21" spans="2:8" ht="31.5" thickTop="1" thickBot="1" x14ac:dyDescent="0.3">
      <c r="B21" s="50" t="s">
        <v>43</v>
      </c>
      <c r="C21" s="59">
        <v>0.2</v>
      </c>
      <c r="D21" s="59">
        <f>C21*(1-15%)</f>
        <v>0.17</v>
      </c>
      <c r="E21" s="59">
        <f t="shared" ref="E21:F21" si="0">D21*(1-15%)</f>
        <v>0.14450000000000002</v>
      </c>
      <c r="F21" s="59">
        <f t="shared" si="0"/>
        <v>0.12282500000000002</v>
      </c>
      <c r="G21" s="59">
        <v>0</v>
      </c>
    </row>
    <row r="22" spans="2:8" ht="16.5" thickTop="1" thickBot="1" x14ac:dyDescent="0.3"/>
    <row r="23" spans="2:8" ht="16.5" thickTop="1" thickBot="1" x14ac:dyDescent="0.3">
      <c r="B23" s="125" t="s">
        <v>32</v>
      </c>
      <c r="C23" s="125"/>
      <c r="D23" s="125"/>
      <c r="E23" s="125"/>
      <c r="F23" s="125"/>
      <c r="G23" s="125"/>
    </row>
    <row r="24" spans="2:8" ht="16.5" thickTop="1" thickBot="1" x14ac:dyDescent="0.3">
      <c r="B24" s="116"/>
      <c r="C24" s="117"/>
      <c r="D24" s="117"/>
      <c r="E24" s="117"/>
      <c r="F24" s="117"/>
      <c r="G24" s="118"/>
    </row>
    <row r="25" spans="2:8" ht="16.5" thickTop="1" thickBot="1" x14ac:dyDescent="0.3">
      <c r="B25" s="46" t="s">
        <v>30</v>
      </c>
      <c r="C25" s="89" t="s">
        <v>23</v>
      </c>
      <c r="D25" s="89" t="s">
        <v>24</v>
      </c>
      <c r="E25" s="89" t="s">
        <v>25</v>
      </c>
      <c r="F25" s="89" t="s">
        <v>26</v>
      </c>
      <c r="G25" s="89" t="s">
        <v>27</v>
      </c>
    </row>
    <row r="26" spans="2:8" ht="16.5" thickTop="1" thickBot="1" x14ac:dyDescent="0.3">
      <c r="B26" s="122" t="s">
        <v>33</v>
      </c>
      <c r="C26" s="123"/>
      <c r="D26" s="123"/>
      <c r="E26" s="123"/>
      <c r="F26" s="123"/>
      <c r="G26" s="124"/>
    </row>
    <row r="27" spans="2:8" ht="16.5" thickTop="1" thickBot="1" x14ac:dyDescent="0.3">
      <c r="B27" s="49" t="s">
        <v>34</v>
      </c>
      <c r="C27" s="90">
        <f>'Working Summary'!C16</f>
        <v>1850</v>
      </c>
      <c r="D27" s="90">
        <f>C27*(1+7%)</f>
        <v>1979.5000000000002</v>
      </c>
      <c r="E27" s="90">
        <f t="shared" ref="E27:G27" si="1">D27*(1+7%)</f>
        <v>2118.0650000000005</v>
      </c>
      <c r="F27" s="90">
        <f t="shared" si="1"/>
        <v>2266.3295500000008</v>
      </c>
      <c r="G27" s="90">
        <f t="shared" si="1"/>
        <v>2424.9726185000009</v>
      </c>
    </row>
    <row r="28" spans="2:8" ht="16.5" thickTop="1" thickBot="1" x14ac:dyDescent="0.3">
      <c r="B28" s="119"/>
      <c r="C28" s="120"/>
      <c r="D28" s="120"/>
      <c r="E28" s="120"/>
      <c r="F28" s="120"/>
      <c r="G28" s="121"/>
    </row>
    <row r="29" spans="2:8" ht="16.5" thickTop="1" thickBot="1" x14ac:dyDescent="0.3">
      <c r="B29" s="122" t="s">
        <v>56</v>
      </c>
      <c r="C29" s="123"/>
      <c r="D29" s="123"/>
      <c r="E29" s="123"/>
      <c r="F29" s="123"/>
      <c r="G29" s="124"/>
    </row>
    <row r="30" spans="2:8" ht="16.5" thickTop="1" thickBot="1" x14ac:dyDescent="0.3">
      <c r="B30" s="49" t="s">
        <v>34</v>
      </c>
      <c r="C30" s="90">
        <f>'Working Summary'!C17</f>
        <v>7500</v>
      </c>
      <c r="D30" s="90">
        <f>C30*(1+6%)</f>
        <v>7950</v>
      </c>
      <c r="E30" s="90">
        <f t="shared" ref="E30:G30" si="2">D30*(1+6%)</f>
        <v>8427</v>
      </c>
      <c r="F30" s="90">
        <f t="shared" si="2"/>
        <v>8932.6200000000008</v>
      </c>
      <c r="G30" s="90">
        <f t="shared" si="2"/>
        <v>9468.5772000000015</v>
      </c>
    </row>
    <row r="31" spans="2:8" ht="15.75" thickTop="1" x14ac:dyDescent="0.25"/>
    <row r="44" spans="2:2" x14ac:dyDescent="0.25">
      <c r="B44" s="60" t="s">
        <v>60</v>
      </c>
    </row>
    <row r="59" spans="2:2" x14ac:dyDescent="0.25">
      <c r="B59" s="60" t="s">
        <v>61</v>
      </c>
    </row>
    <row r="73" spans="2:2" x14ac:dyDescent="0.25">
      <c r="B73" s="60" t="s">
        <v>62</v>
      </c>
    </row>
    <row r="87" spans="2:2" x14ac:dyDescent="0.25">
      <c r="B87" s="60" t="s">
        <v>63</v>
      </c>
    </row>
    <row r="104" spans="2:2" x14ac:dyDescent="0.25">
      <c r="B104" s="60" t="s">
        <v>64</v>
      </c>
    </row>
    <row r="119" spans="2:2" x14ac:dyDescent="0.25">
      <c r="B119" s="60" t="s">
        <v>62</v>
      </c>
    </row>
    <row r="136" spans="2:2" x14ac:dyDescent="0.25">
      <c r="B136" s="60" t="s">
        <v>65</v>
      </c>
    </row>
    <row r="153" spans="2:2" x14ac:dyDescent="0.25">
      <c r="B153" s="60" t="s">
        <v>66</v>
      </c>
    </row>
    <row r="170" spans="2:2" x14ac:dyDescent="0.25">
      <c r="B170" s="60" t="s">
        <v>67</v>
      </c>
    </row>
  </sheetData>
  <mergeCells count="12">
    <mergeCell ref="B24:G24"/>
    <mergeCell ref="B28:G28"/>
    <mergeCell ref="B29:G29"/>
    <mergeCell ref="B26:G26"/>
    <mergeCell ref="J4:K4"/>
    <mergeCell ref="B23:G23"/>
    <mergeCell ref="B4:H4"/>
    <mergeCell ref="B16:G16"/>
    <mergeCell ref="B17:G17"/>
    <mergeCell ref="B5:H5"/>
    <mergeCell ref="J5:K5"/>
    <mergeCell ref="B20:G20"/>
  </mergeCells>
  <phoneticPr fontId="7" type="noConversion"/>
  <hyperlinks>
    <hyperlink ref="B44" r:id="rId1" display="https://www.magicbricks.com/propertyDetails/4-BHK-2788-Sq-ft-Multistorey-Apartment-FOR-Sale-Bagmari-in-Kolkata&amp;id=4d423630393432303539" xr:uid="{11EB9E74-1368-4716-8748-90C994EF5DB9}"/>
    <hyperlink ref="B59" r:id="rId2" display="https://www.magicbricks.com/propertyDetails/3-BHK-1690-Sq-ft-Multistorey-Apartment-FOR-Sale-Circular-Canal-Area-in-Kolkata&amp;id=4d423633383831333939" xr:uid="{78FB2BD2-8D72-47A3-BA72-DE0BACC6645F}"/>
    <hyperlink ref="B73" r:id="rId3" display="https://www.magicbricks.com/propertyDetails/3-BHK-1400-Sq-ft-Multistorey-Apartment-FOR-Sale-Bagmari-in-Kolkata&amp;id=4d423632353838363139" xr:uid="{FFB276A4-D467-413C-8A41-240300682EB8}"/>
    <hyperlink ref="B87" r:id="rId4" display="https://www.magicbricks.com/propertyDetails/3-BHK-1500-Sq-ft-Multistorey-Apartment-FOR-Sale-Bagmari-in-Kolkata&amp;id=4d423539363930393933" xr:uid="{462F6592-012C-45F1-B8DC-A719324788DD}"/>
    <hyperlink ref="B104" r:id="rId5" display="https://www.magicbricks.com/property-for-sale-in-bagmari-kolkata-pppfs" xr:uid="{6717F4BF-694F-4AF3-A0B7-D0621A3775C5}"/>
    <hyperlink ref="B119" r:id="rId6" display="https://www.magicbricks.com/propertyDetails/3-BHK-1400-Sq-ft-Multistorey-Apartment-FOR-Sale-Bagmari-in-Kolkata&amp;id=4d423632353838373637" xr:uid="{4A92B98E-CA10-47FC-A952-51227306AFF5}"/>
    <hyperlink ref="B136" r:id="rId7" display="https://housing.com/buy-tattvam-by-eden-group-in-bagmari-kolkata-pid-282922" xr:uid="{29642574-8066-4F92-AC6A-E47B82EBD38B}"/>
    <hyperlink ref="B153" r:id="rId8" display="https://housing.com/buy-1567-sqft-4-bhk-apartment-in-bagmari-for-rs-13600000-rid-10020160" xr:uid="{3506F7CA-4675-4F4B-B667-8F7BC84F2F12}"/>
    <hyperlink ref="B170" r:id="rId9" display="https://housing.com/buy-1382-sqft-3-bhk-apartment-in-bagmari-for-rs-11100000-rid-9970085" xr:uid="{740AC25C-F069-42D4-A316-F8C495CB40CB}"/>
  </hyperlinks>
  <pageMargins left="0.7" right="0.7" top="0.75" bottom="0.75" header="0.3" footer="0.3"/>
  <pageSetup orientation="portrait" r:id="rId10"/>
  <drawing r:id="rId1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AEBF4-D466-4297-A395-9E1E18BB20FD}">
  <sheetPr>
    <tabColor theme="7" tint="0.39997558519241921"/>
  </sheetPr>
  <dimension ref="B2:H21"/>
  <sheetViews>
    <sheetView tabSelected="1" workbookViewId="0">
      <selection activeCell="B4" sqref="B4:H4"/>
    </sheetView>
  </sheetViews>
  <sheetFormatPr defaultRowHeight="15" x14ac:dyDescent="0.25"/>
  <cols>
    <col min="1" max="1" width="2" style="2" customWidth="1"/>
    <col min="2" max="2" width="26.7109375" style="2" bestFit="1" customWidth="1"/>
    <col min="3" max="7" width="8.85546875" style="2" customWidth="1"/>
    <col min="8" max="16384" width="9.140625" style="2"/>
  </cols>
  <sheetData>
    <row r="2" spans="2:8" ht="23.25" x14ac:dyDescent="0.35">
      <c r="B2" s="127" t="s">
        <v>174</v>
      </c>
      <c r="C2" s="127"/>
      <c r="D2" s="127"/>
      <c r="E2" s="127"/>
      <c r="F2" s="127"/>
      <c r="G2" s="127"/>
      <c r="H2" s="127"/>
    </row>
    <row r="4" spans="2:8" x14ac:dyDescent="0.25">
      <c r="B4" s="126" t="s">
        <v>16</v>
      </c>
      <c r="C4" s="126"/>
      <c r="D4" s="126"/>
      <c r="E4" s="126"/>
      <c r="F4" s="126"/>
      <c r="G4" s="126"/>
      <c r="H4" s="126"/>
    </row>
    <row r="5" spans="2:8" ht="15.75" thickBot="1" x14ac:dyDescent="0.3">
      <c r="B5" s="128" t="s">
        <v>38</v>
      </c>
      <c r="C5" s="144"/>
      <c r="D5" s="144"/>
      <c r="E5" s="144"/>
      <c r="F5" s="144"/>
      <c r="G5" s="144"/>
      <c r="H5" s="144"/>
    </row>
    <row r="6" spans="2:8" ht="16.5" thickTop="1" thickBot="1" x14ac:dyDescent="0.3">
      <c r="B6" s="20" t="s">
        <v>11</v>
      </c>
      <c r="C6" s="22" t="s">
        <v>23</v>
      </c>
      <c r="D6" s="22" t="s">
        <v>24</v>
      </c>
      <c r="E6" s="22" t="s">
        <v>25</v>
      </c>
      <c r="F6" s="22" t="s">
        <v>26</v>
      </c>
      <c r="G6" s="22" t="s">
        <v>27</v>
      </c>
      <c r="H6" s="22" t="s">
        <v>7</v>
      </c>
    </row>
    <row r="7" spans="2:8" ht="16.5" thickTop="1" thickBot="1" x14ac:dyDescent="0.3"/>
    <row r="8" spans="2:8" ht="16.5" thickTop="1" thickBot="1" x14ac:dyDescent="0.3">
      <c r="B8" s="145" t="s">
        <v>22</v>
      </c>
      <c r="C8" s="146"/>
      <c r="D8" s="146"/>
      <c r="E8" s="146"/>
      <c r="F8" s="146"/>
      <c r="G8" s="146"/>
      <c r="H8" s="147"/>
    </row>
    <row r="9" spans="2:8" ht="16.5" thickTop="1" thickBot="1" x14ac:dyDescent="0.3">
      <c r="B9" s="95" t="s">
        <v>9</v>
      </c>
      <c r="C9" s="28">
        <f>'Working Summary'!$C$11*Assumptions!C7*Assumptions!C30/10^7</f>
        <v>6.5707500000000003</v>
      </c>
      <c r="D9" s="28">
        <f>'Working Summary'!$C$11*Assumptions!D7*Assumptions!D30/10^7</f>
        <v>6.964995</v>
      </c>
      <c r="E9" s="28">
        <f>'Working Summary'!$C$11*Assumptions!E7*Assumptions!E30/10^7</f>
        <v>7.3828946999999996</v>
      </c>
      <c r="F9" s="28">
        <v>0</v>
      </c>
      <c r="G9" s="28">
        <v>0</v>
      </c>
      <c r="H9" s="28">
        <f>SUM(C9:G9)</f>
        <v>20.9186397</v>
      </c>
    </row>
    <row r="10" spans="2:8" ht="16.5" thickTop="1" thickBot="1" x14ac:dyDescent="0.3">
      <c r="B10" s="7" t="s">
        <v>35</v>
      </c>
      <c r="C10" s="40">
        <f>C9</f>
        <v>6.5707500000000003</v>
      </c>
      <c r="D10" s="40">
        <f>D9</f>
        <v>6.964995</v>
      </c>
      <c r="E10" s="40">
        <f>E9</f>
        <v>7.3828946999999996</v>
      </c>
      <c r="F10" s="40">
        <f>F9</f>
        <v>0</v>
      </c>
      <c r="G10" s="40">
        <f>G9</f>
        <v>0</v>
      </c>
      <c r="H10" s="40">
        <f>H9</f>
        <v>20.9186397</v>
      </c>
    </row>
    <row r="11" spans="2:8" ht="16.5" thickTop="1" thickBot="1" x14ac:dyDescent="0.3">
      <c r="B11" s="94"/>
      <c r="C11" s="94"/>
      <c r="D11" s="94"/>
      <c r="E11" s="94"/>
      <c r="F11" s="94"/>
      <c r="G11" s="94"/>
    </row>
    <row r="12" spans="2:8" ht="16.5" thickTop="1" thickBot="1" x14ac:dyDescent="0.3">
      <c r="B12" s="30" t="s">
        <v>28</v>
      </c>
      <c r="C12" s="41"/>
      <c r="D12" s="41"/>
      <c r="E12" s="41"/>
      <c r="F12" s="41"/>
      <c r="G12" s="146"/>
      <c r="H12" s="42"/>
    </row>
    <row r="13" spans="2:8" ht="16.5" thickTop="1" thickBot="1" x14ac:dyDescent="0.3">
      <c r="B13" s="95" t="s">
        <v>9</v>
      </c>
      <c r="C13" s="28">
        <f>'Working Summary'!$C$11*Assumptions!C10*Assumptions!C30/10^7</f>
        <v>0</v>
      </c>
      <c r="D13" s="28">
        <f>'Working Summary'!$C$11*Assumptions!D10*Assumptions!D30/10^7</f>
        <v>13.92999</v>
      </c>
      <c r="E13" s="28">
        <f>'Working Summary'!$C$11*Assumptions!E10*Assumptions!E30/10^7</f>
        <v>22.148684100000001</v>
      </c>
      <c r="F13" s="28">
        <f>'Working Summary'!$C$11*Assumptions!F10*Assumptions!F30/10^7</f>
        <v>46.955210292000004</v>
      </c>
      <c r="G13" s="28">
        <f>'Working Summary'!$C$11*Assumptions!G10*Assumptions!G30/10^7</f>
        <v>49.772522909520006</v>
      </c>
      <c r="H13" s="28">
        <f>SUM(C13:G13)</f>
        <v>132.80640730152001</v>
      </c>
    </row>
    <row r="14" spans="2:8" ht="31.5" thickTop="1" thickBot="1" x14ac:dyDescent="0.3">
      <c r="B14" s="57" t="s">
        <v>36</v>
      </c>
      <c r="C14" s="40">
        <f>C13</f>
        <v>0</v>
      </c>
      <c r="D14" s="40">
        <f>D13</f>
        <v>13.92999</v>
      </c>
      <c r="E14" s="40">
        <f>E13</f>
        <v>22.148684100000001</v>
      </c>
      <c r="F14" s="40">
        <f>F13</f>
        <v>46.955210292000004</v>
      </c>
      <c r="G14" s="40">
        <f>G13</f>
        <v>49.772522909520006</v>
      </c>
      <c r="H14" s="40">
        <f>H13</f>
        <v>132.80640730152001</v>
      </c>
    </row>
    <row r="15" spans="2:8" ht="16.5" thickTop="1" thickBot="1" x14ac:dyDescent="0.3">
      <c r="B15" s="94"/>
      <c r="C15" s="94"/>
      <c r="D15" s="94"/>
      <c r="E15" s="94"/>
      <c r="F15" s="94"/>
      <c r="G15" s="94"/>
      <c r="H15" s="94"/>
    </row>
    <row r="16" spans="2:8" ht="16.5" thickTop="1" thickBot="1" x14ac:dyDescent="0.3">
      <c r="B16" s="30" t="s">
        <v>170</v>
      </c>
      <c r="C16" s="41"/>
      <c r="D16" s="41"/>
      <c r="E16" s="41"/>
      <c r="F16" s="41"/>
      <c r="G16" s="146"/>
      <c r="H16" s="42"/>
    </row>
    <row r="17" spans="2:8" ht="16.5" thickTop="1" thickBot="1" x14ac:dyDescent="0.3">
      <c r="B17" s="95" t="s">
        <v>172</v>
      </c>
      <c r="C17" s="28">
        <f>'Working Summary'!$C$14*Assumptions!C13*'Working Summary'!$C$18/10^7</f>
        <v>0</v>
      </c>
      <c r="D17" s="28">
        <f>'Working Summary'!$C$14*Assumptions!D13*'Working Summary'!$C$18/10^7</f>
        <v>0.56000000000000005</v>
      </c>
      <c r="E17" s="28">
        <f>'Working Summary'!$C$14*Assumptions!E13*'Working Summary'!$C$18/10^7</f>
        <v>0.56000000000000005</v>
      </c>
      <c r="F17" s="28">
        <f>'Working Summary'!$C$14*Assumptions!F13*'Working Summary'!$C$18/10^7</f>
        <v>2.2400000000000002</v>
      </c>
      <c r="G17" s="28">
        <f>'Working Summary'!$C$14*Assumptions!G13*'Working Summary'!$C$18/10^7</f>
        <v>2.2400000000000002</v>
      </c>
      <c r="H17" s="28">
        <f>SUM(C17:G17)</f>
        <v>5.6000000000000005</v>
      </c>
    </row>
    <row r="18" spans="2:8" ht="31.5" thickTop="1" thickBot="1" x14ac:dyDescent="0.3">
      <c r="B18" s="57" t="s">
        <v>171</v>
      </c>
      <c r="C18" s="40">
        <f>C17</f>
        <v>0</v>
      </c>
      <c r="D18" s="40">
        <f>D17</f>
        <v>0.56000000000000005</v>
      </c>
      <c r="E18" s="40">
        <f>E17</f>
        <v>0.56000000000000005</v>
      </c>
      <c r="F18" s="40">
        <f>F17</f>
        <v>2.2400000000000002</v>
      </c>
      <c r="G18" s="40">
        <f>G17</f>
        <v>2.2400000000000002</v>
      </c>
      <c r="H18" s="40">
        <f>H17</f>
        <v>5.6000000000000005</v>
      </c>
    </row>
    <row r="19" spans="2:8" ht="16.5" thickTop="1" thickBot="1" x14ac:dyDescent="0.3"/>
    <row r="20" spans="2:8" ht="16.5" thickTop="1" thickBot="1" x14ac:dyDescent="0.3">
      <c r="B20" s="9" t="s">
        <v>52</v>
      </c>
      <c r="C20" s="10">
        <f>C10+C14+C18</f>
        <v>6.5707500000000003</v>
      </c>
      <c r="D20" s="10">
        <f t="shared" ref="D20:G20" si="0">D10+D14+D18</f>
        <v>21.454984999999997</v>
      </c>
      <c r="E20" s="10">
        <f t="shared" si="0"/>
        <v>30.091578799999997</v>
      </c>
      <c r="F20" s="10">
        <f t="shared" si="0"/>
        <v>49.195210292000006</v>
      </c>
      <c r="G20" s="10">
        <f t="shared" si="0"/>
        <v>52.012522909520008</v>
      </c>
      <c r="H20" s="10">
        <f>H10+H14+H18</f>
        <v>159.32504700152001</v>
      </c>
    </row>
    <row r="21" spans="2:8" ht="15.75" thickTop="1" x14ac:dyDescent="0.25"/>
  </sheetData>
  <mergeCells count="3">
    <mergeCell ref="B4:H4"/>
    <mergeCell ref="B2:H2"/>
    <mergeCell ref="B5:H5"/>
  </mergeCells>
  <phoneticPr fontId="7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1358A-BA11-40A7-8F8D-862DCF0AD9C4}">
  <sheetPr>
    <tabColor theme="7" tint="0.39997558519241921"/>
  </sheetPr>
  <dimension ref="B2:G12"/>
  <sheetViews>
    <sheetView workbookViewId="0"/>
  </sheetViews>
  <sheetFormatPr defaultRowHeight="15" x14ac:dyDescent="0.25"/>
  <cols>
    <col min="1" max="1" width="2" style="2" customWidth="1"/>
    <col min="2" max="2" width="26.7109375" style="2" bestFit="1" customWidth="1"/>
    <col min="3" max="3" width="15.28515625" style="2" bestFit="1" customWidth="1"/>
    <col min="4" max="16384" width="9.140625" style="2"/>
  </cols>
  <sheetData>
    <row r="2" spans="2:7" ht="23.25" x14ac:dyDescent="0.35">
      <c r="B2" s="127" t="s">
        <v>175</v>
      </c>
      <c r="C2" s="127"/>
      <c r="D2" s="127"/>
      <c r="E2" s="127"/>
      <c r="F2" s="127"/>
      <c r="G2" s="127"/>
    </row>
    <row r="4" spans="2:7" x14ac:dyDescent="0.25">
      <c r="B4" s="126" t="s">
        <v>16</v>
      </c>
      <c r="C4" s="126"/>
      <c r="D4" s="126"/>
      <c r="E4" s="126"/>
      <c r="F4" s="126"/>
      <c r="G4" s="126"/>
    </row>
    <row r="5" spans="2:7" ht="15.75" thickBot="1" x14ac:dyDescent="0.3">
      <c r="B5" s="128" t="s">
        <v>37</v>
      </c>
      <c r="C5" s="129"/>
      <c r="D5" s="129"/>
      <c r="E5" s="129"/>
      <c r="F5" s="129"/>
      <c r="G5" s="129"/>
    </row>
    <row r="6" spans="2:7" ht="16.5" thickTop="1" thickBot="1" x14ac:dyDescent="0.3">
      <c r="B6" s="20" t="s">
        <v>11</v>
      </c>
      <c r="C6" s="22" t="s">
        <v>23</v>
      </c>
      <c r="D6" s="22" t="s">
        <v>24</v>
      </c>
      <c r="E6" s="22" t="s">
        <v>25</v>
      </c>
      <c r="F6" s="22" t="s">
        <v>26</v>
      </c>
      <c r="G6" s="22" t="s">
        <v>27</v>
      </c>
    </row>
    <row r="7" spans="2:7" ht="16.5" thickTop="1" thickBot="1" x14ac:dyDescent="0.3">
      <c r="B7" s="19"/>
      <c r="C7" s="29"/>
      <c r="D7" s="29"/>
      <c r="E7" s="29"/>
      <c r="F7" s="29"/>
      <c r="G7" s="29"/>
    </row>
    <row r="8" spans="2:7" ht="16.5" thickTop="1" thickBot="1" x14ac:dyDescent="0.3">
      <c r="B8" s="7" t="s">
        <v>9</v>
      </c>
      <c r="C8" s="27">
        <f>'Working Summary'!$C$12*Assumptions!C19*Assumptions!C27/10^7</f>
        <v>15.3170047</v>
      </c>
      <c r="D8" s="27">
        <f>'Working Summary'!$C$12*Assumptions!D19*Assumptions!D27/10^7</f>
        <v>16.389195029000003</v>
      </c>
      <c r="E8" s="27">
        <f>'Working Summary'!$C$12*Assumptions!E19*Assumptions!E27/10^7</f>
        <v>8.7682193405150013</v>
      </c>
      <c r="F8" s="27">
        <f>'Working Summary'!$C$12*Assumptions!F19*Assumptions!F27/10^7</f>
        <v>0</v>
      </c>
      <c r="G8" s="27">
        <f>'Working Summary'!$C$12*Assumptions!G19*Assumptions!G27/10^7</f>
        <v>0</v>
      </c>
    </row>
    <row r="9" spans="2:7" ht="16.5" thickTop="1" thickBot="1" x14ac:dyDescent="0.3">
      <c r="B9" s="7" t="s">
        <v>6</v>
      </c>
      <c r="C9" s="27">
        <f>C8*Assumptions!C21</f>
        <v>3.0634009400000002</v>
      </c>
      <c r="D9" s="27">
        <f>D8*Assumptions!D21</f>
        <v>2.7861631549300006</v>
      </c>
      <c r="E9" s="27">
        <f>E8*Assumptions!E21</f>
        <v>1.2670076947044178</v>
      </c>
      <c r="F9" s="27">
        <f>E9*50%</f>
        <v>0.63350384735220888</v>
      </c>
      <c r="G9" s="27">
        <f>F9*50%</f>
        <v>0.31675192367610444</v>
      </c>
    </row>
    <row r="10" spans="2:7" ht="16.5" thickTop="1" thickBot="1" x14ac:dyDescent="0.3">
      <c r="B10" s="7"/>
      <c r="C10" s="27"/>
      <c r="D10" s="27"/>
      <c r="E10" s="27"/>
      <c r="F10" s="27"/>
      <c r="G10" s="27"/>
    </row>
    <row r="11" spans="2:7" ht="16.5" thickTop="1" thickBot="1" x14ac:dyDescent="0.3">
      <c r="B11" s="9" t="s">
        <v>176</v>
      </c>
      <c r="C11" s="43">
        <f>C8+C10</f>
        <v>15.3170047</v>
      </c>
      <c r="D11" s="43">
        <f>D8+D10</f>
        <v>16.389195029000003</v>
      </c>
      <c r="E11" s="43">
        <f>E8+E10</f>
        <v>8.7682193405150013</v>
      </c>
      <c r="F11" s="43">
        <f>F8+F10</f>
        <v>0</v>
      </c>
      <c r="G11" s="43">
        <f>G8+G10</f>
        <v>0</v>
      </c>
    </row>
    <row r="12" spans="2:7" ht="15.75" thickTop="1" x14ac:dyDescent="0.25"/>
  </sheetData>
  <mergeCells count="3">
    <mergeCell ref="B2:G2"/>
    <mergeCell ref="B5:G5"/>
    <mergeCell ref="B4:G4"/>
  </mergeCells>
  <phoneticPr fontId="7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B2:XEW31"/>
  <sheetViews>
    <sheetView zoomScale="85" zoomScaleNormal="85" workbookViewId="0">
      <selection activeCell="H14" sqref="H14:H16"/>
    </sheetView>
  </sheetViews>
  <sheetFormatPr defaultColWidth="8.85546875" defaultRowHeight="15" x14ac:dyDescent="0.25"/>
  <cols>
    <col min="1" max="1" width="2" style="2" customWidth="1"/>
    <col min="2" max="2" width="25.140625" style="2" customWidth="1"/>
    <col min="3" max="3" width="10" style="2" bestFit="1" customWidth="1"/>
    <col min="4" max="4" width="12.28515625" style="2" customWidth="1"/>
    <col min="5" max="5" width="10" style="2" bestFit="1" customWidth="1"/>
    <col min="6" max="6" width="14.28515625" style="2" bestFit="1" customWidth="1"/>
    <col min="7" max="7" width="12.28515625" style="2" bestFit="1" customWidth="1"/>
    <col min="8" max="8" width="16.140625" style="11" customWidth="1"/>
    <col min="9" max="9" width="7.7109375" style="2" customWidth="1"/>
    <col min="10" max="10" width="34.140625" style="2" bestFit="1" customWidth="1"/>
    <col min="11" max="15" width="12.140625" style="2" customWidth="1"/>
    <col min="16" max="16" width="20.5703125" style="2" bestFit="1" customWidth="1"/>
    <col min="17" max="17" width="26.7109375" style="2" bestFit="1" customWidth="1"/>
    <col min="18" max="18" width="7" style="2" bestFit="1" customWidth="1"/>
    <col min="19" max="20" width="9.7109375" style="2" bestFit="1" customWidth="1"/>
    <col min="21" max="23" width="10.7109375" style="2" bestFit="1" customWidth="1"/>
    <col min="24" max="16384" width="8.85546875" style="2"/>
  </cols>
  <sheetData>
    <row r="2" spans="2:16 16377:16377" ht="21" x14ac:dyDescent="0.35">
      <c r="B2" s="6" t="s">
        <v>57</v>
      </c>
    </row>
    <row r="3" spans="2:16 16377:16377" ht="15.75" thickBot="1" x14ac:dyDescent="0.3"/>
    <row r="4" spans="2:16 16377:16377" ht="45.75" customHeight="1" thickTop="1" thickBot="1" x14ac:dyDescent="0.3">
      <c r="B4" s="20" t="s">
        <v>11</v>
      </c>
      <c r="C4" s="21" t="s">
        <v>59</v>
      </c>
      <c r="D4" s="21" t="s">
        <v>18</v>
      </c>
      <c r="E4" s="21" t="s">
        <v>19</v>
      </c>
      <c r="F4" s="21" t="s">
        <v>193</v>
      </c>
      <c r="G4" s="21" t="s">
        <v>20</v>
      </c>
      <c r="H4" s="21" t="s">
        <v>150</v>
      </c>
    </row>
    <row r="5" spans="2:16 16377:16377" ht="16.5" thickTop="1" thickBot="1" x14ac:dyDescent="0.3">
      <c r="B5" s="17"/>
      <c r="C5" s="17"/>
      <c r="D5" s="17"/>
      <c r="E5" s="17"/>
      <c r="F5" s="17"/>
      <c r="G5" s="17"/>
      <c r="H5" s="18"/>
    </row>
    <row r="6" spans="2:16 16377:16377" ht="16.5" thickTop="1" thickBot="1" x14ac:dyDescent="0.3">
      <c r="B6" s="7" t="s">
        <v>192</v>
      </c>
      <c r="C6" s="8">
        <v>5265.98</v>
      </c>
      <c r="D6" s="8">
        <v>0</v>
      </c>
      <c r="E6" s="8">
        <v>0</v>
      </c>
      <c r="F6" s="8">
        <f>'Working Summary'!C13</f>
        <v>140287.77085470001</v>
      </c>
      <c r="G6" s="8">
        <f>'Working Summary'!C11</f>
        <v>175220</v>
      </c>
      <c r="H6" s="12">
        <f>'Working Summary'!C12</f>
        <v>206986.55</v>
      </c>
    </row>
    <row r="7" spans="2:16 16377:16377" ht="16.5" thickTop="1" thickBot="1" x14ac:dyDescent="0.3">
      <c r="B7" s="7"/>
      <c r="C7" s="8"/>
      <c r="D7" s="8"/>
      <c r="E7" s="8"/>
      <c r="F7" s="8"/>
      <c r="G7" s="8"/>
      <c r="H7" s="12"/>
    </row>
    <row r="8" spans="2:16 16377:16377" ht="16.5" thickTop="1" thickBot="1" x14ac:dyDescent="0.3">
      <c r="B8" s="9" t="s">
        <v>7</v>
      </c>
      <c r="C8" s="10">
        <f t="shared" ref="C8:H8" si="0">C6+C7</f>
        <v>5265.98</v>
      </c>
      <c r="D8" s="10">
        <f t="shared" si="0"/>
        <v>0</v>
      </c>
      <c r="E8" s="10">
        <f t="shared" si="0"/>
        <v>0</v>
      </c>
      <c r="F8" s="10">
        <f t="shared" si="0"/>
        <v>140287.77085470001</v>
      </c>
      <c r="G8" s="10">
        <f t="shared" si="0"/>
        <v>175220</v>
      </c>
      <c r="H8" s="10">
        <f t="shared" si="0"/>
        <v>206986.55</v>
      </c>
    </row>
    <row r="9" spans="2:16 16377:16377" ht="15.75" thickTop="1" x14ac:dyDescent="0.25">
      <c r="XEW9" s="2">
        <f>XEW6+XEW7</f>
        <v>0</v>
      </c>
    </row>
    <row r="11" spans="2:16 16377:16377" ht="15.75" thickBot="1" x14ac:dyDescent="0.3">
      <c r="B11" s="126" t="s">
        <v>15</v>
      </c>
      <c r="C11" s="126"/>
      <c r="D11" s="126"/>
      <c r="E11" s="126"/>
      <c r="F11" s="126"/>
      <c r="G11" s="126"/>
      <c r="H11" s="126"/>
    </row>
    <row r="12" spans="2:16 16377:16377" ht="31.5" thickTop="1" thickBot="1" x14ac:dyDescent="0.3">
      <c r="B12" s="20" t="s">
        <v>11</v>
      </c>
      <c r="C12" s="22" t="s">
        <v>1</v>
      </c>
      <c r="D12" s="22" t="s">
        <v>2</v>
      </c>
      <c r="E12" s="22" t="s">
        <v>3</v>
      </c>
      <c r="F12" s="22" t="s">
        <v>4</v>
      </c>
      <c r="G12" s="22" t="s">
        <v>5</v>
      </c>
      <c r="H12" s="23" t="s">
        <v>39</v>
      </c>
    </row>
    <row r="13" spans="2:16 16377:16377" ht="20.25" customHeight="1" thickTop="1" x14ac:dyDescent="0.25">
      <c r="B13" s="1"/>
    </row>
    <row r="14" spans="2:16 16377:16377" x14ac:dyDescent="0.25">
      <c r="B14" s="1" t="s">
        <v>8</v>
      </c>
      <c r="C14" s="32">
        <f>Inflow!C10</f>
        <v>6.5707500000000003</v>
      </c>
      <c r="D14" s="32">
        <f>Inflow!D10</f>
        <v>6.964995</v>
      </c>
      <c r="E14" s="32">
        <f>Inflow!E10</f>
        <v>7.3828946999999996</v>
      </c>
      <c r="F14" s="32">
        <f>Inflow!F10</f>
        <v>0</v>
      </c>
      <c r="G14" s="32">
        <f>Inflow!G10</f>
        <v>0</v>
      </c>
      <c r="H14" s="33">
        <f>SUM(C14:G14)</f>
        <v>20.9186397</v>
      </c>
      <c r="P14" s="31"/>
    </row>
    <row r="15" spans="2:16 16377:16377" x14ac:dyDescent="0.25">
      <c r="B15" s="1" t="s">
        <v>13</v>
      </c>
      <c r="C15" s="32">
        <f>Inflow!C14</f>
        <v>0</v>
      </c>
      <c r="D15" s="32">
        <f>Inflow!D14</f>
        <v>13.92999</v>
      </c>
      <c r="E15" s="32">
        <f>Inflow!E14</f>
        <v>22.148684100000001</v>
      </c>
      <c r="F15" s="32">
        <f>Inflow!F14</f>
        <v>46.955210292000004</v>
      </c>
      <c r="G15" s="32">
        <f>Inflow!G14</f>
        <v>49.772522909520006</v>
      </c>
      <c r="H15" s="33">
        <f>SUM(C15:G15)</f>
        <v>132.80640730152001</v>
      </c>
    </row>
    <row r="16" spans="2:16 16377:16377" x14ac:dyDescent="0.25">
      <c r="B16" s="1" t="s">
        <v>177</v>
      </c>
      <c r="C16" s="32">
        <f>Inflow!C18</f>
        <v>0</v>
      </c>
      <c r="D16" s="32">
        <f>Inflow!D18</f>
        <v>0.56000000000000005</v>
      </c>
      <c r="E16" s="32">
        <f>Inflow!E18</f>
        <v>0.56000000000000005</v>
      </c>
      <c r="F16" s="32">
        <f>Inflow!F18</f>
        <v>2.2400000000000002</v>
      </c>
      <c r="G16" s="32">
        <f>Inflow!G18</f>
        <v>2.2400000000000002</v>
      </c>
      <c r="H16" s="33">
        <f>SUM(C16:G16)</f>
        <v>5.6000000000000005</v>
      </c>
    </row>
    <row r="17" spans="2:8" ht="16.5" customHeight="1" thickBot="1" x14ac:dyDescent="0.3">
      <c r="B17" s="1"/>
      <c r="C17" s="34"/>
      <c r="D17" s="35"/>
      <c r="E17" s="35"/>
      <c r="F17" s="35"/>
      <c r="G17" s="35"/>
      <c r="H17" s="33"/>
    </row>
    <row r="18" spans="2:8" ht="15.75" thickBot="1" x14ac:dyDescent="0.3">
      <c r="B18" s="4" t="s">
        <v>52</v>
      </c>
      <c r="C18" s="36">
        <f>C14+C15+C16</f>
        <v>6.5707500000000003</v>
      </c>
      <c r="D18" s="36">
        <f t="shared" ref="D18:H18" si="1">D14+D15+D16</f>
        <v>21.454984999999997</v>
      </c>
      <c r="E18" s="36">
        <f t="shared" si="1"/>
        <v>30.091578799999997</v>
      </c>
      <c r="F18" s="36">
        <f t="shared" si="1"/>
        <v>49.195210292000006</v>
      </c>
      <c r="G18" s="36">
        <f t="shared" si="1"/>
        <v>52.012522909520008</v>
      </c>
      <c r="H18" s="36">
        <f t="shared" si="1"/>
        <v>159.32504700152001</v>
      </c>
    </row>
    <row r="19" spans="2:8" x14ac:dyDescent="0.25">
      <c r="B19" s="1"/>
      <c r="C19" s="32"/>
      <c r="D19" s="32"/>
      <c r="E19" s="32"/>
      <c r="F19" s="32"/>
      <c r="G19" s="32"/>
      <c r="H19" s="33"/>
    </row>
    <row r="20" spans="2:8" x14ac:dyDescent="0.25">
      <c r="B20" s="53" t="s">
        <v>178</v>
      </c>
      <c r="C20" s="32">
        <f>Outflow!C11</f>
        <v>15.3170047</v>
      </c>
      <c r="D20" s="32">
        <f>Outflow!D11</f>
        <v>16.389195029000003</v>
      </c>
      <c r="E20" s="32">
        <f>Outflow!E11</f>
        <v>8.7682193405150013</v>
      </c>
      <c r="F20" s="32">
        <f>Outflow!F11</f>
        <v>0</v>
      </c>
      <c r="G20" s="32">
        <f t="shared" ref="G20" si="2">V9</f>
        <v>0</v>
      </c>
      <c r="H20" s="33">
        <f>SUM(C20:G20)</f>
        <v>40.474419069515008</v>
      </c>
    </row>
    <row r="21" spans="2:8" x14ac:dyDescent="0.25">
      <c r="B21" s="1" t="s">
        <v>6</v>
      </c>
      <c r="C21" s="32">
        <f>Outflow!C9</f>
        <v>3.0634009400000002</v>
      </c>
      <c r="D21" s="32">
        <f>Outflow!D9</f>
        <v>2.7861631549300006</v>
      </c>
      <c r="E21" s="32">
        <f>Outflow!E9</f>
        <v>1.2670076947044178</v>
      </c>
      <c r="F21" s="32">
        <f>Outflow!F9</f>
        <v>0.63350384735220888</v>
      </c>
      <c r="G21" s="32">
        <f>Outflow!G9</f>
        <v>0.31675192367610444</v>
      </c>
      <c r="H21" s="33">
        <f>SUM(C21:G21)</f>
        <v>8.0668275606627322</v>
      </c>
    </row>
    <row r="22" spans="2:8" ht="15.75" thickBot="1" x14ac:dyDescent="0.3">
      <c r="B22" s="1"/>
      <c r="C22" s="32"/>
      <c r="D22" s="32"/>
      <c r="E22" s="32"/>
      <c r="F22" s="32"/>
      <c r="G22" s="32"/>
      <c r="H22" s="33"/>
    </row>
    <row r="23" spans="2:8" ht="15.75" thickBot="1" x14ac:dyDescent="0.3">
      <c r="B23" s="4" t="s">
        <v>53</v>
      </c>
      <c r="C23" s="36">
        <f t="shared" ref="C23:H23" si="3">C20+C21</f>
        <v>18.380405639999999</v>
      </c>
      <c r="D23" s="36">
        <f t="shared" si="3"/>
        <v>19.175358183930005</v>
      </c>
      <c r="E23" s="36">
        <f t="shared" si="3"/>
        <v>10.035227035219419</v>
      </c>
      <c r="F23" s="36">
        <f t="shared" si="3"/>
        <v>0.63350384735220888</v>
      </c>
      <c r="G23" s="36">
        <f t="shared" si="3"/>
        <v>0.31675192367610444</v>
      </c>
      <c r="H23" s="37">
        <f t="shared" si="3"/>
        <v>48.541246630177739</v>
      </c>
    </row>
    <row r="24" spans="2:8" ht="15.75" thickBot="1" x14ac:dyDescent="0.3">
      <c r="B24" s="1"/>
      <c r="C24" s="32"/>
      <c r="D24" s="32"/>
      <c r="E24" s="32"/>
      <c r="F24" s="32"/>
      <c r="G24" s="32"/>
      <c r="H24" s="33"/>
    </row>
    <row r="25" spans="2:8" ht="15.75" thickBot="1" x14ac:dyDescent="0.3">
      <c r="B25" s="5" t="s">
        <v>54</v>
      </c>
      <c r="C25" s="38">
        <f t="shared" ref="C25:H25" si="4">C18-C23</f>
        <v>-11.809655639999999</v>
      </c>
      <c r="D25" s="38">
        <f t="shared" si="4"/>
        <v>2.2796268160699924</v>
      </c>
      <c r="E25" s="38">
        <f t="shared" si="4"/>
        <v>20.05635176478058</v>
      </c>
      <c r="F25" s="38">
        <f t="shared" si="4"/>
        <v>48.561706444647797</v>
      </c>
      <c r="G25" s="38">
        <f t="shared" si="4"/>
        <v>51.695770985843907</v>
      </c>
      <c r="H25" s="39">
        <f t="shared" si="4"/>
        <v>110.78380037134227</v>
      </c>
    </row>
    <row r="26" spans="2:8" ht="15.75" thickBot="1" x14ac:dyDescent="0.3">
      <c r="B26" s="1"/>
      <c r="C26" s="3"/>
      <c r="D26" s="3"/>
      <c r="E26" s="3"/>
      <c r="F26" s="3"/>
      <c r="G26" s="3"/>
      <c r="H26" s="24"/>
    </row>
    <row r="27" spans="2:8" ht="16.5" thickTop="1" thickBot="1" x14ac:dyDescent="0.3">
      <c r="B27" s="14" t="s">
        <v>10</v>
      </c>
      <c r="C27" s="52">
        <f>Assumptions!K12</f>
        <v>0.13379999999999997</v>
      </c>
      <c r="D27" s="15"/>
      <c r="E27" s="13"/>
      <c r="F27" s="13"/>
      <c r="H27" s="24"/>
    </row>
    <row r="28" spans="2:8" ht="16.5" thickTop="1" thickBot="1" x14ac:dyDescent="0.3">
      <c r="B28" s="16" t="s">
        <v>12</v>
      </c>
      <c r="C28" s="16">
        <f>NPV(C27,C25:G25)</f>
        <v>62.095960304714076</v>
      </c>
      <c r="D28" s="15" t="s">
        <v>17</v>
      </c>
      <c r="E28" s="25"/>
    </row>
    <row r="29" spans="2:8" ht="16.5" hidden="1" thickTop="1" thickBot="1" x14ac:dyDescent="0.3">
      <c r="B29" s="61" t="s">
        <v>21</v>
      </c>
      <c r="C29" s="61">
        <f>C28*20%</f>
        <v>12.419192060942816</v>
      </c>
      <c r="D29" s="62" t="s">
        <v>17</v>
      </c>
    </row>
    <row r="30" spans="2:8" ht="16.5" hidden="1" thickTop="1" thickBot="1" x14ac:dyDescent="0.3">
      <c r="B30" s="63" t="s">
        <v>14</v>
      </c>
      <c r="C30" s="64">
        <f>C28-C29</f>
        <v>49.676768243771264</v>
      </c>
      <c r="D30" s="62" t="s">
        <v>17</v>
      </c>
    </row>
    <row r="31" spans="2:8" ht="15.75" thickTop="1" x14ac:dyDescent="0.25"/>
  </sheetData>
  <mergeCells count="1">
    <mergeCell ref="B11:H11"/>
  </mergeCells>
  <phoneticPr fontId="7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B2A87-023C-407C-9A6A-1B3153E1D413}">
  <sheetPr>
    <tabColor theme="7" tint="0.39997558519241921"/>
  </sheetPr>
  <dimension ref="B2:P123"/>
  <sheetViews>
    <sheetView workbookViewId="0"/>
  </sheetViews>
  <sheetFormatPr defaultRowHeight="15" x14ac:dyDescent="0.25"/>
  <cols>
    <col min="1" max="1" width="2" style="2" customWidth="1"/>
    <col min="2" max="2" width="9.140625" style="67"/>
    <col min="3" max="3" width="9.140625" style="66"/>
    <col min="4" max="5" width="9.140625" style="67"/>
    <col min="6" max="6" width="12.7109375" style="66" bestFit="1" customWidth="1"/>
    <col min="7" max="8" width="11.85546875" style="67" bestFit="1" customWidth="1"/>
    <col min="9" max="9" width="20.85546875" style="2" bestFit="1" customWidth="1"/>
    <col min="10" max="10" width="9.140625" style="2"/>
    <col min="11" max="11" width="12.7109375" style="2" bestFit="1" customWidth="1"/>
    <col min="12" max="12" width="9.140625" style="67"/>
    <col min="13" max="13" width="0" style="66" hidden="1" customWidth="1"/>
    <col min="14" max="14" width="13.7109375" style="66" hidden="1" customWidth="1"/>
    <col min="15" max="16" width="9.140625" style="67"/>
    <col min="17" max="16384" width="9.140625" style="2"/>
  </cols>
  <sheetData>
    <row r="2" spans="2:16" ht="21" x14ac:dyDescent="0.25">
      <c r="B2" s="74" t="s">
        <v>42</v>
      </c>
    </row>
    <row r="3" spans="2:16" ht="15.75" thickBot="1" x14ac:dyDescent="0.3"/>
    <row r="4" spans="2:16" ht="15.75" thickBot="1" x14ac:dyDescent="0.3">
      <c r="B4" s="71" t="s">
        <v>143</v>
      </c>
      <c r="C4" s="72" t="s">
        <v>68</v>
      </c>
      <c r="D4" s="71" t="s">
        <v>69</v>
      </c>
      <c r="E4" s="71" t="s">
        <v>70</v>
      </c>
      <c r="F4" s="72" t="s">
        <v>71</v>
      </c>
      <c r="G4" s="71" t="s">
        <v>72</v>
      </c>
      <c r="H4" s="71" t="s">
        <v>73</v>
      </c>
      <c r="I4" s="71" t="s">
        <v>180</v>
      </c>
      <c r="K4" s="132" t="s">
        <v>146</v>
      </c>
      <c r="L4" s="133"/>
      <c r="M4" s="76" t="s">
        <v>73</v>
      </c>
      <c r="N4" s="76" t="s">
        <v>149</v>
      </c>
      <c r="O4" s="76" t="s">
        <v>147</v>
      </c>
      <c r="P4" s="76" t="s">
        <v>148</v>
      </c>
    </row>
    <row r="5" spans="2:16" ht="15.75" thickBot="1" x14ac:dyDescent="0.3">
      <c r="B5" s="69">
        <v>1</v>
      </c>
      <c r="C5" s="131" t="s">
        <v>74</v>
      </c>
      <c r="D5" s="131">
        <v>3</v>
      </c>
      <c r="E5" s="69" t="s">
        <v>75</v>
      </c>
      <c r="F5" s="73" t="s">
        <v>76</v>
      </c>
      <c r="G5" s="109">
        <v>763</v>
      </c>
      <c r="H5" s="109">
        <v>775</v>
      </c>
      <c r="I5" s="109">
        <f>G5*(1.25)</f>
        <v>953.75</v>
      </c>
      <c r="K5" s="68" t="s">
        <v>76</v>
      </c>
      <c r="L5" s="73">
        <f>COUNTIF(F5:F63,K5)</f>
        <v>16</v>
      </c>
      <c r="M5" s="73">
        <f>SUMIF(F5:F63,K5,H5:H63)</f>
        <v>12415</v>
      </c>
      <c r="N5" s="73">
        <f>M5*(1+0.25)</f>
        <v>15518.75</v>
      </c>
      <c r="O5" s="73">
        <v>0</v>
      </c>
      <c r="P5" s="73">
        <f>L5</f>
        <v>16</v>
      </c>
    </row>
    <row r="6" spans="2:16" ht="15.75" thickBot="1" x14ac:dyDescent="0.3">
      <c r="B6" s="69">
        <v>2</v>
      </c>
      <c r="C6" s="131"/>
      <c r="D6" s="131"/>
      <c r="E6" s="69" t="s">
        <v>77</v>
      </c>
      <c r="F6" s="73" t="s">
        <v>78</v>
      </c>
      <c r="G6" s="109">
        <v>1017</v>
      </c>
      <c r="H6" s="109">
        <v>1029</v>
      </c>
      <c r="I6" s="109">
        <f t="shared" ref="I6:I69" si="0">G6*(1.25)</f>
        <v>1271.25</v>
      </c>
      <c r="K6" s="68" t="s">
        <v>78</v>
      </c>
      <c r="L6" s="73">
        <f>COUNTIF(F6:F64,K6)</f>
        <v>29</v>
      </c>
      <c r="M6" s="73">
        <f>SUMIF(F6:F64,K6,H6:H64)</f>
        <v>32004</v>
      </c>
      <c r="N6" s="73">
        <f t="shared" ref="N6:N9" si="1">M6*(1+0.25)</f>
        <v>40005</v>
      </c>
      <c r="O6" s="73">
        <v>0</v>
      </c>
      <c r="P6" s="73">
        <f>L6</f>
        <v>29</v>
      </c>
    </row>
    <row r="7" spans="2:16" ht="15.75" thickBot="1" x14ac:dyDescent="0.3">
      <c r="B7" s="69">
        <v>3</v>
      </c>
      <c r="C7" s="131"/>
      <c r="D7" s="131">
        <v>4</v>
      </c>
      <c r="E7" s="69" t="s">
        <v>79</v>
      </c>
      <c r="F7" s="73" t="s">
        <v>76</v>
      </c>
      <c r="G7" s="109">
        <v>763</v>
      </c>
      <c r="H7" s="109">
        <v>774</v>
      </c>
      <c r="I7" s="109">
        <f t="shared" si="0"/>
        <v>953.75</v>
      </c>
      <c r="K7" s="68" t="s">
        <v>85</v>
      </c>
      <c r="L7" s="73">
        <f>COUNTIF(F7:F65,K7)</f>
        <v>12</v>
      </c>
      <c r="M7" s="73">
        <f>SUMIF(F7:F65,K7,H7:H65)</f>
        <v>15932</v>
      </c>
      <c r="N7" s="73">
        <f t="shared" si="1"/>
        <v>19915</v>
      </c>
      <c r="O7" s="73">
        <v>0</v>
      </c>
      <c r="P7" s="73">
        <f>L7</f>
        <v>12</v>
      </c>
    </row>
    <row r="8" spans="2:16" ht="15.75" thickBot="1" x14ac:dyDescent="0.3">
      <c r="B8" s="69">
        <v>4</v>
      </c>
      <c r="C8" s="131"/>
      <c r="D8" s="131"/>
      <c r="E8" s="69" t="s">
        <v>80</v>
      </c>
      <c r="F8" s="73" t="s">
        <v>78</v>
      </c>
      <c r="G8" s="109">
        <v>1214</v>
      </c>
      <c r="H8" s="109">
        <v>1381</v>
      </c>
      <c r="I8" s="109">
        <f t="shared" si="0"/>
        <v>1517.5</v>
      </c>
      <c r="K8" s="68" t="s">
        <v>137</v>
      </c>
      <c r="L8" s="73">
        <f>COUNTIF(F8:F66,K8)</f>
        <v>1</v>
      </c>
      <c r="M8" s="73">
        <f>SUMIF(F8:F66,K8,H8:H66)</f>
        <v>2099</v>
      </c>
      <c r="N8" s="73">
        <f t="shared" si="1"/>
        <v>2623.75</v>
      </c>
      <c r="O8" s="73">
        <v>0</v>
      </c>
      <c r="P8" s="73">
        <f>L8</f>
        <v>1</v>
      </c>
    </row>
    <row r="9" spans="2:16" ht="15.75" thickBot="1" x14ac:dyDescent="0.3">
      <c r="B9" s="69">
        <v>5</v>
      </c>
      <c r="C9" s="131"/>
      <c r="D9" s="131"/>
      <c r="E9" s="69" t="s">
        <v>81</v>
      </c>
      <c r="F9" s="73" t="s">
        <v>78</v>
      </c>
      <c r="G9" s="109">
        <v>1017</v>
      </c>
      <c r="H9" s="109">
        <v>1029</v>
      </c>
      <c r="I9" s="109">
        <f t="shared" si="0"/>
        <v>1271.25</v>
      </c>
      <c r="K9" s="68" t="s">
        <v>139</v>
      </c>
      <c r="L9" s="73">
        <f>COUNTIF(F9:F67,K9)</f>
        <v>1</v>
      </c>
      <c r="M9" s="73">
        <f>SUMIF(F9:F67,K9,H9:H67)</f>
        <v>2314</v>
      </c>
      <c r="N9" s="73">
        <f t="shared" si="1"/>
        <v>2892.5</v>
      </c>
      <c r="O9" s="73">
        <v>0</v>
      </c>
      <c r="P9" s="73">
        <f>L9</f>
        <v>1</v>
      </c>
    </row>
    <row r="10" spans="2:16" ht="15.75" thickBot="1" x14ac:dyDescent="0.3">
      <c r="B10" s="69">
        <v>6</v>
      </c>
      <c r="C10" s="131"/>
      <c r="D10" s="131">
        <v>5</v>
      </c>
      <c r="E10" s="69" t="s">
        <v>82</v>
      </c>
      <c r="F10" s="73" t="s">
        <v>76</v>
      </c>
      <c r="G10" s="109">
        <v>763</v>
      </c>
      <c r="H10" s="109">
        <v>779</v>
      </c>
      <c r="I10" s="109">
        <f t="shared" si="0"/>
        <v>953.75</v>
      </c>
      <c r="K10" s="75" t="s">
        <v>144</v>
      </c>
      <c r="L10" s="77">
        <f>SUM(L5:L9)</f>
        <v>59</v>
      </c>
      <c r="M10" s="77"/>
      <c r="N10" s="77">
        <f>SUM(N5:N9)</f>
        <v>80955</v>
      </c>
      <c r="O10" s="77">
        <v>0</v>
      </c>
      <c r="P10" s="77">
        <f>SUM(P5:P9)</f>
        <v>59</v>
      </c>
    </row>
    <row r="11" spans="2:16" ht="15.75" thickBot="1" x14ac:dyDescent="0.3">
      <c r="B11" s="69">
        <v>7</v>
      </c>
      <c r="C11" s="131"/>
      <c r="D11" s="131"/>
      <c r="E11" s="69" t="s">
        <v>83</v>
      </c>
      <c r="F11" s="73" t="s">
        <v>78</v>
      </c>
      <c r="G11" s="109">
        <v>1159</v>
      </c>
      <c r="H11" s="109">
        <v>1173</v>
      </c>
      <c r="I11" s="109">
        <f t="shared" si="0"/>
        <v>1448.75</v>
      </c>
      <c r="K11" s="132" t="s">
        <v>145</v>
      </c>
      <c r="L11" s="133"/>
      <c r="M11" s="76"/>
      <c r="N11" s="76"/>
      <c r="O11" s="76" t="s">
        <v>147</v>
      </c>
      <c r="P11" s="76" t="s">
        <v>148</v>
      </c>
    </row>
    <row r="12" spans="2:16" ht="15.75" thickBot="1" x14ac:dyDescent="0.3">
      <c r="B12" s="69">
        <v>8</v>
      </c>
      <c r="C12" s="131"/>
      <c r="D12" s="131"/>
      <c r="E12" s="69" t="s">
        <v>84</v>
      </c>
      <c r="F12" s="73" t="s">
        <v>85</v>
      </c>
      <c r="G12" s="109">
        <v>1311</v>
      </c>
      <c r="H12" s="109">
        <v>1330</v>
      </c>
      <c r="I12" s="109">
        <f t="shared" si="0"/>
        <v>1638.75</v>
      </c>
      <c r="K12" s="68" t="s">
        <v>76</v>
      </c>
      <c r="L12" s="73">
        <f>COUNTIF(F64:F122,K12)</f>
        <v>16</v>
      </c>
      <c r="M12" s="73">
        <f>SUMIF(F64:F122,K12,H64:H122)</f>
        <v>11988</v>
      </c>
      <c r="N12" s="73">
        <f>M12*(1+0.25)</f>
        <v>14985</v>
      </c>
      <c r="O12" s="73">
        <v>0</v>
      </c>
      <c r="P12" s="73">
        <f>L12</f>
        <v>16</v>
      </c>
    </row>
    <row r="13" spans="2:16" ht="15.75" thickBot="1" x14ac:dyDescent="0.3">
      <c r="B13" s="69">
        <v>9</v>
      </c>
      <c r="C13" s="131"/>
      <c r="D13" s="131"/>
      <c r="E13" s="69" t="s">
        <v>86</v>
      </c>
      <c r="F13" s="73" t="s">
        <v>78</v>
      </c>
      <c r="G13" s="109">
        <v>1017</v>
      </c>
      <c r="H13" s="109">
        <v>1040</v>
      </c>
      <c r="I13" s="109">
        <f t="shared" si="0"/>
        <v>1271.25</v>
      </c>
      <c r="K13" s="68" t="s">
        <v>78</v>
      </c>
      <c r="L13" s="73">
        <f>COUNTIF(F65:F123,K13)</f>
        <v>41</v>
      </c>
      <c r="M13" s="73">
        <f>SUMIF(F65:F123,K13,H65:H123)</f>
        <v>44421</v>
      </c>
      <c r="N13" s="73">
        <f t="shared" ref="N13:N16" si="2">M13*(1+0.25)</f>
        <v>55526.25</v>
      </c>
      <c r="O13" s="73">
        <v>0</v>
      </c>
      <c r="P13" s="73">
        <f>L13</f>
        <v>41</v>
      </c>
    </row>
    <row r="14" spans="2:16" ht="15.75" thickBot="1" x14ac:dyDescent="0.3">
      <c r="B14" s="69">
        <v>10</v>
      </c>
      <c r="C14" s="131"/>
      <c r="D14" s="131">
        <v>6</v>
      </c>
      <c r="E14" s="69" t="s">
        <v>87</v>
      </c>
      <c r="F14" s="73" t="s">
        <v>76</v>
      </c>
      <c r="G14" s="109">
        <v>763</v>
      </c>
      <c r="H14" s="109">
        <v>775</v>
      </c>
      <c r="I14" s="109">
        <f t="shared" si="0"/>
        <v>953.75</v>
      </c>
      <c r="K14" s="68" t="s">
        <v>85</v>
      </c>
      <c r="L14" s="73">
        <f>COUNTIF(F66:F124,K14)</f>
        <v>0</v>
      </c>
      <c r="M14" s="73">
        <f>SUMIF(F66:F124,K14,H66:H124)</f>
        <v>0</v>
      </c>
      <c r="N14" s="73">
        <f t="shared" si="2"/>
        <v>0</v>
      </c>
      <c r="O14" s="73">
        <v>0</v>
      </c>
      <c r="P14" s="73">
        <f>L14</f>
        <v>0</v>
      </c>
    </row>
    <row r="15" spans="2:16" ht="15.75" thickBot="1" x14ac:dyDescent="0.3">
      <c r="B15" s="69">
        <v>11</v>
      </c>
      <c r="C15" s="131"/>
      <c r="D15" s="131"/>
      <c r="E15" s="69" t="s">
        <v>88</v>
      </c>
      <c r="F15" s="73" t="s">
        <v>78</v>
      </c>
      <c r="G15" s="109">
        <v>1159</v>
      </c>
      <c r="H15" s="109">
        <v>1173</v>
      </c>
      <c r="I15" s="109">
        <f t="shared" si="0"/>
        <v>1448.75</v>
      </c>
      <c r="K15" s="68" t="s">
        <v>137</v>
      </c>
      <c r="L15" s="73">
        <f>COUNTIF(F67:F125,K15)</f>
        <v>2</v>
      </c>
      <c r="M15" s="73">
        <f>SUMIF(F67:F125,K15,H67:H125)</f>
        <v>3984</v>
      </c>
      <c r="N15" s="73">
        <f t="shared" si="2"/>
        <v>4980</v>
      </c>
      <c r="O15" s="73">
        <v>0</v>
      </c>
      <c r="P15" s="73">
        <f>L15</f>
        <v>2</v>
      </c>
    </row>
    <row r="16" spans="2:16" ht="15.75" thickBot="1" x14ac:dyDescent="0.3">
      <c r="B16" s="69">
        <v>12</v>
      </c>
      <c r="C16" s="131"/>
      <c r="D16" s="131"/>
      <c r="E16" s="69" t="s">
        <v>89</v>
      </c>
      <c r="F16" s="73" t="s">
        <v>85</v>
      </c>
      <c r="G16" s="109">
        <v>1311</v>
      </c>
      <c r="H16" s="109">
        <v>1327</v>
      </c>
      <c r="I16" s="109">
        <f t="shared" si="0"/>
        <v>1638.75</v>
      </c>
      <c r="K16" s="68" t="s">
        <v>139</v>
      </c>
      <c r="L16" s="73">
        <f>COUNTIF(F68:F126,K16)</f>
        <v>0</v>
      </c>
      <c r="M16" s="73">
        <f>SUMIF(F68:F126,K16,H68:H126)</f>
        <v>0</v>
      </c>
      <c r="N16" s="73">
        <f t="shared" si="2"/>
        <v>0</v>
      </c>
      <c r="O16" s="73">
        <v>0</v>
      </c>
      <c r="P16" s="73">
        <f>L16</f>
        <v>0</v>
      </c>
    </row>
    <row r="17" spans="2:16" ht="15.75" thickBot="1" x14ac:dyDescent="0.3">
      <c r="B17" s="69">
        <v>13</v>
      </c>
      <c r="C17" s="131"/>
      <c r="D17" s="131"/>
      <c r="E17" s="69" t="s">
        <v>90</v>
      </c>
      <c r="F17" s="73" t="s">
        <v>78</v>
      </c>
      <c r="G17" s="109">
        <v>1017</v>
      </c>
      <c r="H17" s="109">
        <v>1029</v>
      </c>
      <c r="I17" s="109">
        <f t="shared" si="0"/>
        <v>1271.25</v>
      </c>
      <c r="K17" s="75" t="s">
        <v>144</v>
      </c>
      <c r="L17" s="77">
        <f>SUM(L12:L16)</f>
        <v>59</v>
      </c>
      <c r="M17" s="77">
        <f>SUM(M12:M16)</f>
        <v>60393</v>
      </c>
      <c r="N17" s="77">
        <f>SUM(N12:N16)</f>
        <v>75491.25</v>
      </c>
      <c r="O17" s="77">
        <f>SUM(O12:O16)</f>
        <v>0</v>
      </c>
      <c r="P17" s="77">
        <f>SUM(P12:P16)</f>
        <v>59</v>
      </c>
    </row>
    <row r="18" spans="2:16" ht="15.75" thickBot="1" x14ac:dyDescent="0.3">
      <c r="B18" s="69">
        <v>14</v>
      </c>
      <c r="C18" s="131"/>
      <c r="D18" s="131">
        <v>7</v>
      </c>
      <c r="E18" s="69" t="s">
        <v>91</v>
      </c>
      <c r="F18" s="73" t="s">
        <v>76</v>
      </c>
      <c r="G18" s="109">
        <v>763</v>
      </c>
      <c r="H18" s="109">
        <v>774</v>
      </c>
      <c r="I18" s="109">
        <f t="shared" si="0"/>
        <v>953.75</v>
      </c>
      <c r="L18" s="2"/>
      <c r="M18" s="2"/>
      <c r="N18" s="2"/>
      <c r="O18" s="2"/>
      <c r="P18" s="2"/>
    </row>
    <row r="19" spans="2:16" ht="15.75" thickBot="1" x14ac:dyDescent="0.3">
      <c r="B19" s="69">
        <v>15</v>
      </c>
      <c r="C19" s="131"/>
      <c r="D19" s="131"/>
      <c r="E19" s="69" t="s">
        <v>92</v>
      </c>
      <c r="F19" s="73" t="s">
        <v>78</v>
      </c>
      <c r="G19" s="109">
        <v>1159</v>
      </c>
      <c r="H19" s="109">
        <v>1180</v>
      </c>
      <c r="I19" s="109">
        <f t="shared" si="0"/>
        <v>1448.75</v>
      </c>
    </row>
    <row r="20" spans="2:16" ht="15.75" thickBot="1" x14ac:dyDescent="0.3">
      <c r="B20" s="69">
        <v>16</v>
      </c>
      <c r="C20" s="131"/>
      <c r="D20" s="131"/>
      <c r="E20" s="69" t="s">
        <v>93</v>
      </c>
      <c r="F20" s="73" t="s">
        <v>85</v>
      </c>
      <c r="G20" s="109">
        <v>1311</v>
      </c>
      <c r="H20" s="109">
        <v>1326</v>
      </c>
      <c r="I20" s="109">
        <f t="shared" si="0"/>
        <v>1638.75</v>
      </c>
    </row>
    <row r="21" spans="2:16" ht="15.75" thickBot="1" x14ac:dyDescent="0.3">
      <c r="B21" s="69">
        <v>17</v>
      </c>
      <c r="C21" s="131"/>
      <c r="D21" s="131"/>
      <c r="E21" s="69" t="s">
        <v>94</v>
      </c>
      <c r="F21" s="73" t="s">
        <v>78</v>
      </c>
      <c r="G21" s="109">
        <v>1017</v>
      </c>
      <c r="H21" s="109">
        <v>1029</v>
      </c>
      <c r="I21" s="109">
        <f t="shared" si="0"/>
        <v>1271.25</v>
      </c>
    </row>
    <row r="22" spans="2:16" ht="15.75" thickBot="1" x14ac:dyDescent="0.3">
      <c r="B22" s="69">
        <v>18</v>
      </c>
      <c r="C22" s="131"/>
      <c r="D22" s="131">
        <v>8</v>
      </c>
      <c r="E22" s="69" t="s">
        <v>95</v>
      </c>
      <c r="F22" s="73" t="s">
        <v>76</v>
      </c>
      <c r="G22" s="109">
        <v>763</v>
      </c>
      <c r="H22" s="109">
        <v>779</v>
      </c>
      <c r="I22" s="109">
        <f t="shared" si="0"/>
        <v>953.75</v>
      </c>
    </row>
    <row r="23" spans="2:16" ht="15.75" thickBot="1" x14ac:dyDescent="0.3">
      <c r="B23" s="69">
        <v>19</v>
      </c>
      <c r="C23" s="131"/>
      <c r="D23" s="131"/>
      <c r="E23" s="69" t="s">
        <v>96</v>
      </c>
      <c r="F23" s="73" t="s">
        <v>78</v>
      </c>
      <c r="G23" s="109">
        <v>1159</v>
      </c>
      <c r="H23" s="109">
        <v>1173</v>
      </c>
      <c r="I23" s="109">
        <f t="shared" si="0"/>
        <v>1448.75</v>
      </c>
    </row>
    <row r="24" spans="2:16" ht="15.75" thickBot="1" x14ac:dyDescent="0.3">
      <c r="B24" s="69">
        <v>20</v>
      </c>
      <c r="C24" s="131"/>
      <c r="D24" s="131"/>
      <c r="E24" s="69" t="s">
        <v>97</v>
      </c>
      <c r="F24" s="73" t="s">
        <v>85</v>
      </c>
      <c r="G24" s="109">
        <v>1311</v>
      </c>
      <c r="H24" s="109">
        <v>1330</v>
      </c>
      <c r="I24" s="109">
        <f t="shared" si="0"/>
        <v>1638.75</v>
      </c>
    </row>
    <row r="25" spans="2:16" ht="15.75" thickBot="1" x14ac:dyDescent="0.3">
      <c r="B25" s="69">
        <v>21</v>
      </c>
      <c r="C25" s="131"/>
      <c r="D25" s="131"/>
      <c r="E25" s="69" t="s">
        <v>98</v>
      </c>
      <c r="F25" s="73" t="s">
        <v>78</v>
      </c>
      <c r="G25" s="109">
        <v>1017</v>
      </c>
      <c r="H25" s="109">
        <v>1040</v>
      </c>
      <c r="I25" s="109">
        <f t="shared" si="0"/>
        <v>1271.25</v>
      </c>
    </row>
    <row r="26" spans="2:16" ht="15.75" thickBot="1" x14ac:dyDescent="0.3">
      <c r="B26" s="69">
        <v>22</v>
      </c>
      <c r="C26" s="131"/>
      <c r="D26" s="131">
        <v>9</v>
      </c>
      <c r="E26" s="69" t="s">
        <v>99</v>
      </c>
      <c r="F26" s="73" t="s">
        <v>76</v>
      </c>
      <c r="G26" s="109">
        <v>763</v>
      </c>
      <c r="H26" s="109">
        <v>775</v>
      </c>
      <c r="I26" s="109">
        <f t="shared" si="0"/>
        <v>953.75</v>
      </c>
    </row>
    <row r="27" spans="2:16" ht="15.75" thickBot="1" x14ac:dyDescent="0.3">
      <c r="B27" s="69">
        <v>23</v>
      </c>
      <c r="C27" s="131"/>
      <c r="D27" s="131"/>
      <c r="E27" s="69" t="s">
        <v>100</v>
      </c>
      <c r="F27" s="73" t="s">
        <v>78</v>
      </c>
      <c r="G27" s="109">
        <v>1159</v>
      </c>
      <c r="H27" s="109">
        <v>1173</v>
      </c>
      <c r="I27" s="109">
        <f t="shared" si="0"/>
        <v>1448.75</v>
      </c>
    </row>
    <row r="28" spans="2:16" ht="15.75" thickBot="1" x14ac:dyDescent="0.3">
      <c r="B28" s="69">
        <v>24</v>
      </c>
      <c r="C28" s="131"/>
      <c r="D28" s="131"/>
      <c r="E28" s="69" t="s">
        <v>101</v>
      </c>
      <c r="F28" s="73" t="s">
        <v>85</v>
      </c>
      <c r="G28" s="109">
        <v>1311</v>
      </c>
      <c r="H28" s="109">
        <v>1327</v>
      </c>
      <c r="I28" s="109">
        <f t="shared" si="0"/>
        <v>1638.75</v>
      </c>
    </row>
    <row r="29" spans="2:16" ht="15.75" thickBot="1" x14ac:dyDescent="0.3">
      <c r="B29" s="69">
        <v>25</v>
      </c>
      <c r="C29" s="131"/>
      <c r="D29" s="131"/>
      <c r="E29" s="69" t="s">
        <v>102</v>
      </c>
      <c r="F29" s="73" t="s">
        <v>78</v>
      </c>
      <c r="G29" s="109">
        <v>1017</v>
      </c>
      <c r="H29" s="109">
        <v>1029</v>
      </c>
      <c r="I29" s="109">
        <f t="shared" si="0"/>
        <v>1271.25</v>
      </c>
    </row>
    <row r="30" spans="2:16" ht="15.75" thickBot="1" x14ac:dyDescent="0.3">
      <c r="B30" s="69">
        <v>26</v>
      </c>
      <c r="C30" s="131"/>
      <c r="D30" s="131">
        <v>10</v>
      </c>
      <c r="E30" s="69" t="s">
        <v>103</v>
      </c>
      <c r="F30" s="73" t="s">
        <v>76</v>
      </c>
      <c r="G30" s="109">
        <v>763</v>
      </c>
      <c r="H30" s="109">
        <v>774</v>
      </c>
      <c r="I30" s="109">
        <f t="shared" si="0"/>
        <v>953.75</v>
      </c>
    </row>
    <row r="31" spans="2:16" ht="15.75" thickBot="1" x14ac:dyDescent="0.3">
      <c r="B31" s="69">
        <v>27</v>
      </c>
      <c r="C31" s="131"/>
      <c r="D31" s="131"/>
      <c r="E31" s="69" t="s">
        <v>104</v>
      </c>
      <c r="F31" s="73" t="s">
        <v>78</v>
      </c>
      <c r="G31" s="109">
        <v>1159</v>
      </c>
      <c r="H31" s="109">
        <v>1180</v>
      </c>
      <c r="I31" s="109">
        <f t="shared" si="0"/>
        <v>1448.75</v>
      </c>
    </row>
    <row r="32" spans="2:16" ht="15.75" thickBot="1" x14ac:dyDescent="0.3">
      <c r="B32" s="69">
        <v>28</v>
      </c>
      <c r="C32" s="131"/>
      <c r="D32" s="131"/>
      <c r="E32" s="69" t="s">
        <v>105</v>
      </c>
      <c r="F32" s="73" t="s">
        <v>85</v>
      </c>
      <c r="G32" s="109">
        <v>1311</v>
      </c>
      <c r="H32" s="109">
        <v>1326</v>
      </c>
      <c r="I32" s="109">
        <f t="shared" si="0"/>
        <v>1638.75</v>
      </c>
    </row>
    <row r="33" spans="2:9" ht="15.75" thickBot="1" x14ac:dyDescent="0.3">
      <c r="B33" s="69">
        <v>29</v>
      </c>
      <c r="C33" s="131"/>
      <c r="D33" s="131"/>
      <c r="E33" s="69" t="s">
        <v>106</v>
      </c>
      <c r="F33" s="73" t="s">
        <v>78</v>
      </c>
      <c r="G33" s="109">
        <v>1017</v>
      </c>
      <c r="H33" s="109">
        <v>1029</v>
      </c>
      <c r="I33" s="109">
        <f t="shared" si="0"/>
        <v>1271.25</v>
      </c>
    </row>
    <row r="34" spans="2:9" ht="15.75" thickBot="1" x14ac:dyDescent="0.3">
      <c r="B34" s="69">
        <v>30</v>
      </c>
      <c r="C34" s="131"/>
      <c r="D34" s="131">
        <v>11</v>
      </c>
      <c r="E34" s="69" t="s">
        <v>107</v>
      </c>
      <c r="F34" s="73" t="s">
        <v>76</v>
      </c>
      <c r="G34" s="109">
        <v>763</v>
      </c>
      <c r="H34" s="109">
        <v>779</v>
      </c>
      <c r="I34" s="109">
        <f t="shared" si="0"/>
        <v>953.75</v>
      </c>
    </row>
    <row r="35" spans="2:9" ht="15.75" thickBot="1" x14ac:dyDescent="0.3">
      <c r="B35" s="69">
        <v>31</v>
      </c>
      <c r="C35" s="131"/>
      <c r="D35" s="131"/>
      <c r="E35" s="69" t="s">
        <v>108</v>
      </c>
      <c r="F35" s="73" t="s">
        <v>78</v>
      </c>
      <c r="G35" s="109">
        <v>1159</v>
      </c>
      <c r="H35" s="109">
        <v>1173</v>
      </c>
      <c r="I35" s="109">
        <f t="shared" si="0"/>
        <v>1448.75</v>
      </c>
    </row>
    <row r="36" spans="2:9" ht="15.75" thickBot="1" x14ac:dyDescent="0.3">
      <c r="B36" s="69">
        <v>32</v>
      </c>
      <c r="C36" s="131"/>
      <c r="D36" s="131"/>
      <c r="E36" s="69" t="s">
        <v>109</v>
      </c>
      <c r="F36" s="73" t="s">
        <v>85</v>
      </c>
      <c r="G36" s="109">
        <v>1311</v>
      </c>
      <c r="H36" s="109">
        <v>1330</v>
      </c>
      <c r="I36" s="109">
        <f t="shared" si="0"/>
        <v>1638.75</v>
      </c>
    </row>
    <row r="37" spans="2:9" ht="15.75" thickBot="1" x14ac:dyDescent="0.3">
      <c r="B37" s="69">
        <v>33</v>
      </c>
      <c r="C37" s="131"/>
      <c r="D37" s="131"/>
      <c r="E37" s="69" t="s">
        <v>110</v>
      </c>
      <c r="F37" s="73" t="s">
        <v>78</v>
      </c>
      <c r="G37" s="109">
        <v>1017</v>
      </c>
      <c r="H37" s="109">
        <v>1040</v>
      </c>
      <c r="I37" s="109">
        <f t="shared" si="0"/>
        <v>1271.25</v>
      </c>
    </row>
    <row r="38" spans="2:9" ht="15.75" thickBot="1" x14ac:dyDescent="0.3">
      <c r="B38" s="69">
        <v>34</v>
      </c>
      <c r="C38" s="131"/>
      <c r="D38" s="131">
        <v>12</v>
      </c>
      <c r="E38" s="69" t="s">
        <v>111</v>
      </c>
      <c r="F38" s="73" t="s">
        <v>76</v>
      </c>
      <c r="G38" s="109">
        <v>763</v>
      </c>
      <c r="H38" s="109">
        <v>775</v>
      </c>
      <c r="I38" s="109">
        <f t="shared" si="0"/>
        <v>953.75</v>
      </c>
    </row>
    <row r="39" spans="2:9" ht="15.75" thickBot="1" x14ac:dyDescent="0.3">
      <c r="B39" s="69">
        <v>35</v>
      </c>
      <c r="C39" s="131"/>
      <c r="D39" s="131"/>
      <c r="E39" s="69" t="s">
        <v>112</v>
      </c>
      <c r="F39" s="73" t="s">
        <v>78</v>
      </c>
      <c r="G39" s="109">
        <v>1159</v>
      </c>
      <c r="H39" s="109">
        <v>1173</v>
      </c>
      <c r="I39" s="109">
        <f t="shared" si="0"/>
        <v>1448.75</v>
      </c>
    </row>
    <row r="40" spans="2:9" ht="15.75" thickBot="1" x14ac:dyDescent="0.3">
      <c r="B40" s="69">
        <v>36</v>
      </c>
      <c r="C40" s="131"/>
      <c r="D40" s="131"/>
      <c r="E40" s="69" t="s">
        <v>113</v>
      </c>
      <c r="F40" s="73" t="s">
        <v>85</v>
      </c>
      <c r="G40" s="109">
        <v>1311</v>
      </c>
      <c r="H40" s="109">
        <v>1327</v>
      </c>
      <c r="I40" s="109">
        <f t="shared" si="0"/>
        <v>1638.75</v>
      </c>
    </row>
    <row r="41" spans="2:9" ht="15.75" thickBot="1" x14ac:dyDescent="0.3">
      <c r="B41" s="69">
        <v>37</v>
      </c>
      <c r="C41" s="131"/>
      <c r="D41" s="131"/>
      <c r="E41" s="69" t="s">
        <v>114</v>
      </c>
      <c r="F41" s="73" t="s">
        <v>78</v>
      </c>
      <c r="G41" s="109">
        <v>1017</v>
      </c>
      <c r="H41" s="109">
        <v>1029</v>
      </c>
      <c r="I41" s="109">
        <f t="shared" si="0"/>
        <v>1271.25</v>
      </c>
    </row>
    <row r="42" spans="2:9" ht="15.75" thickBot="1" x14ac:dyDescent="0.3">
      <c r="B42" s="69">
        <v>38</v>
      </c>
      <c r="C42" s="131"/>
      <c r="D42" s="131">
        <v>13</v>
      </c>
      <c r="E42" s="69" t="s">
        <v>115</v>
      </c>
      <c r="F42" s="73" t="s">
        <v>76</v>
      </c>
      <c r="G42" s="109">
        <v>763</v>
      </c>
      <c r="H42" s="109">
        <v>774</v>
      </c>
      <c r="I42" s="109">
        <f t="shared" si="0"/>
        <v>953.75</v>
      </c>
    </row>
    <row r="43" spans="2:9" ht="15.75" thickBot="1" x14ac:dyDescent="0.3">
      <c r="B43" s="69">
        <v>39</v>
      </c>
      <c r="C43" s="131"/>
      <c r="D43" s="131"/>
      <c r="E43" s="69" t="s">
        <v>116</v>
      </c>
      <c r="F43" s="73" t="s">
        <v>78</v>
      </c>
      <c r="G43" s="109">
        <v>1159</v>
      </c>
      <c r="H43" s="109">
        <v>1180</v>
      </c>
      <c r="I43" s="109">
        <f t="shared" si="0"/>
        <v>1448.75</v>
      </c>
    </row>
    <row r="44" spans="2:9" ht="15.75" thickBot="1" x14ac:dyDescent="0.3">
      <c r="B44" s="69">
        <v>40</v>
      </c>
      <c r="C44" s="131"/>
      <c r="D44" s="131"/>
      <c r="E44" s="69" t="s">
        <v>117</v>
      </c>
      <c r="F44" s="73" t="s">
        <v>85</v>
      </c>
      <c r="G44" s="109">
        <v>1311</v>
      </c>
      <c r="H44" s="109">
        <v>1326</v>
      </c>
      <c r="I44" s="109">
        <f t="shared" si="0"/>
        <v>1638.75</v>
      </c>
    </row>
    <row r="45" spans="2:9" ht="15.75" thickBot="1" x14ac:dyDescent="0.3">
      <c r="B45" s="69">
        <v>41</v>
      </c>
      <c r="C45" s="131"/>
      <c r="D45" s="131"/>
      <c r="E45" s="69" t="s">
        <v>118</v>
      </c>
      <c r="F45" s="73" t="s">
        <v>78</v>
      </c>
      <c r="G45" s="109">
        <v>1017</v>
      </c>
      <c r="H45" s="109">
        <v>1029</v>
      </c>
      <c r="I45" s="109">
        <f t="shared" si="0"/>
        <v>1271.25</v>
      </c>
    </row>
    <row r="46" spans="2:9" ht="15.75" thickBot="1" x14ac:dyDescent="0.3">
      <c r="B46" s="69">
        <v>42</v>
      </c>
      <c r="C46" s="131"/>
      <c r="D46" s="131">
        <v>14</v>
      </c>
      <c r="E46" s="69" t="s">
        <v>119</v>
      </c>
      <c r="F46" s="73" t="s">
        <v>76</v>
      </c>
      <c r="G46" s="109">
        <v>763</v>
      </c>
      <c r="H46" s="109">
        <v>779</v>
      </c>
      <c r="I46" s="109">
        <f t="shared" si="0"/>
        <v>953.75</v>
      </c>
    </row>
    <row r="47" spans="2:9" ht="15.75" thickBot="1" x14ac:dyDescent="0.3">
      <c r="B47" s="69">
        <v>43</v>
      </c>
      <c r="C47" s="131"/>
      <c r="D47" s="131"/>
      <c r="E47" s="69" t="s">
        <v>120</v>
      </c>
      <c r="F47" s="73" t="s">
        <v>78</v>
      </c>
      <c r="G47" s="109">
        <v>1159</v>
      </c>
      <c r="H47" s="109">
        <v>1173</v>
      </c>
      <c r="I47" s="109">
        <f t="shared" si="0"/>
        <v>1448.75</v>
      </c>
    </row>
    <row r="48" spans="2:9" ht="15.75" thickBot="1" x14ac:dyDescent="0.3">
      <c r="B48" s="69">
        <v>44</v>
      </c>
      <c r="C48" s="131"/>
      <c r="D48" s="131"/>
      <c r="E48" s="69" t="s">
        <v>121</v>
      </c>
      <c r="F48" s="73" t="s">
        <v>85</v>
      </c>
      <c r="G48" s="109">
        <v>1311</v>
      </c>
      <c r="H48" s="109">
        <v>1330</v>
      </c>
      <c r="I48" s="109">
        <f t="shared" si="0"/>
        <v>1638.75</v>
      </c>
    </row>
    <row r="49" spans="2:9" ht="15.75" thickBot="1" x14ac:dyDescent="0.3">
      <c r="B49" s="69">
        <v>45</v>
      </c>
      <c r="C49" s="131"/>
      <c r="D49" s="131"/>
      <c r="E49" s="69" t="s">
        <v>122</v>
      </c>
      <c r="F49" s="73" t="s">
        <v>78</v>
      </c>
      <c r="G49" s="109">
        <v>1017</v>
      </c>
      <c r="H49" s="109">
        <v>1040</v>
      </c>
      <c r="I49" s="109">
        <f t="shared" si="0"/>
        <v>1271.25</v>
      </c>
    </row>
    <row r="50" spans="2:9" ht="15.75" thickBot="1" x14ac:dyDescent="0.3">
      <c r="B50" s="69">
        <v>46</v>
      </c>
      <c r="C50" s="131"/>
      <c r="D50" s="131">
        <v>15</v>
      </c>
      <c r="E50" s="69" t="s">
        <v>123</v>
      </c>
      <c r="F50" s="73" t="s">
        <v>76</v>
      </c>
      <c r="G50" s="109">
        <v>763</v>
      </c>
      <c r="H50" s="109">
        <v>775</v>
      </c>
      <c r="I50" s="109">
        <f t="shared" si="0"/>
        <v>953.75</v>
      </c>
    </row>
    <row r="51" spans="2:9" ht="15.75" thickBot="1" x14ac:dyDescent="0.3">
      <c r="B51" s="69">
        <v>47</v>
      </c>
      <c r="C51" s="131"/>
      <c r="D51" s="131"/>
      <c r="E51" s="69" t="s">
        <v>124</v>
      </c>
      <c r="F51" s="73" t="s">
        <v>78</v>
      </c>
      <c r="G51" s="109">
        <v>1159</v>
      </c>
      <c r="H51" s="109">
        <v>1173</v>
      </c>
      <c r="I51" s="109">
        <f t="shared" si="0"/>
        <v>1448.75</v>
      </c>
    </row>
    <row r="52" spans="2:9" ht="15.75" thickBot="1" x14ac:dyDescent="0.3">
      <c r="B52" s="69">
        <v>48</v>
      </c>
      <c r="C52" s="131"/>
      <c r="D52" s="131"/>
      <c r="E52" s="69" t="s">
        <v>125</v>
      </c>
      <c r="F52" s="73" t="s">
        <v>85</v>
      </c>
      <c r="G52" s="109">
        <v>1311</v>
      </c>
      <c r="H52" s="109">
        <v>1327</v>
      </c>
      <c r="I52" s="109">
        <f t="shared" si="0"/>
        <v>1638.75</v>
      </c>
    </row>
    <row r="53" spans="2:9" ht="15.75" thickBot="1" x14ac:dyDescent="0.3">
      <c r="B53" s="69">
        <v>49</v>
      </c>
      <c r="C53" s="131"/>
      <c r="D53" s="131"/>
      <c r="E53" s="69" t="s">
        <v>126</v>
      </c>
      <c r="F53" s="73" t="s">
        <v>78</v>
      </c>
      <c r="G53" s="109">
        <v>1017</v>
      </c>
      <c r="H53" s="109">
        <v>1029</v>
      </c>
      <c r="I53" s="109">
        <f t="shared" si="0"/>
        <v>1271.25</v>
      </c>
    </row>
    <row r="54" spans="2:9" ht="15.75" thickBot="1" x14ac:dyDescent="0.3">
      <c r="B54" s="69">
        <v>50</v>
      </c>
      <c r="C54" s="131"/>
      <c r="D54" s="131">
        <v>16</v>
      </c>
      <c r="E54" s="69" t="s">
        <v>127</v>
      </c>
      <c r="F54" s="73" t="s">
        <v>76</v>
      </c>
      <c r="G54" s="109">
        <v>763</v>
      </c>
      <c r="H54" s="109">
        <v>774</v>
      </c>
      <c r="I54" s="109">
        <f t="shared" si="0"/>
        <v>953.75</v>
      </c>
    </row>
    <row r="55" spans="2:9" ht="15.75" thickBot="1" x14ac:dyDescent="0.3">
      <c r="B55" s="69">
        <v>51</v>
      </c>
      <c r="C55" s="131"/>
      <c r="D55" s="131"/>
      <c r="E55" s="69" t="s">
        <v>128</v>
      </c>
      <c r="F55" s="73" t="s">
        <v>78</v>
      </c>
      <c r="G55" s="109">
        <v>1159</v>
      </c>
      <c r="H55" s="109">
        <v>1180</v>
      </c>
      <c r="I55" s="109">
        <f t="shared" si="0"/>
        <v>1448.75</v>
      </c>
    </row>
    <row r="56" spans="2:9" ht="15.75" thickBot="1" x14ac:dyDescent="0.3">
      <c r="B56" s="69">
        <v>52</v>
      </c>
      <c r="C56" s="131"/>
      <c r="D56" s="131"/>
      <c r="E56" s="69" t="s">
        <v>129</v>
      </c>
      <c r="F56" s="73" t="s">
        <v>85</v>
      </c>
      <c r="G56" s="109">
        <v>1311</v>
      </c>
      <c r="H56" s="109">
        <v>1326</v>
      </c>
      <c r="I56" s="109">
        <f t="shared" si="0"/>
        <v>1638.75</v>
      </c>
    </row>
    <row r="57" spans="2:9" ht="15.75" thickBot="1" x14ac:dyDescent="0.3">
      <c r="B57" s="69">
        <v>53</v>
      </c>
      <c r="C57" s="131"/>
      <c r="D57" s="131"/>
      <c r="E57" s="69" t="s">
        <v>130</v>
      </c>
      <c r="F57" s="73" t="s">
        <v>78</v>
      </c>
      <c r="G57" s="109">
        <v>1017</v>
      </c>
      <c r="H57" s="109">
        <v>1029</v>
      </c>
      <c r="I57" s="109">
        <f t="shared" si="0"/>
        <v>1271.25</v>
      </c>
    </row>
    <row r="58" spans="2:9" ht="15.75" thickBot="1" x14ac:dyDescent="0.3">
      <c r="B58" s="69">
        <v>54</v>
      </c>
      <c r="C58" s="131"/>
      <c r="D58" s="131">
        <v>17</v>
      </c>
      <c r="E58" s="69" t="s">
        <v>131</v>
      </c>
      <c r="F58" s="73" t="s">
        <v>76</v>
      </c>
      <c r="G58" s="109">
        <v>763</v>
      </c>
      <c r="H58" s="109">
        <v>779</v>
      </c>
      <c r="I58" s="109">
        <f t="shared" si="0"/>
        <v>953.75</v>
      </c>
    </row>
    <row r="59" spans="2:9" ht="15.75" thickBot="1" x14ac:dyDescent="0.3">
      <c r="B59" s="69">
        <v>55</v>
      </c>
      <c r="C59" s="131"/>
      <c r="D59" s="131"/>
      <c r="E59" s="69" t="s">
        <v>132</v>
      </c>
      <c r="F59" s="73" t="s">
        <v>78</v>
      </c>
      <c r="G59" s="109">
        <v>1017</v>
      </c>
      <c r="H59" s="109">
        <v>1040</v>
      </c>
      <c r="I59" s="109">
        <f t="shared" si="0"/>
        <v>1271.25</v>
      </c>
    </row>
    <row r="60" spans="2:9" ht="15.75" thickBot="1" x14ac:dyDescent="0.3">
      <c r="B60" s="69">
        <v>56</v>
      </c>
      <c r="C60" s="131"/>
      <c r="D60" s="131">
        <v>18</v>
      </c>
      <c r="E60" s="69" t="s">
        <v>133</v>
      </c>
      <c r="F60" s="73" t="s">
        <v>76</v>
      </c>
      <c r="G60" s="109">
        <v>763</v>
      </c>
      <c r="H60" s="109">
        <v>775</v>
      </c>
      <c r="I60" s="109">
        <f t="shared" si="0"/>
        <v>953.75</v>
      </c>
    </row>
    <row r="61" spans="2:9" ht="15.75" thickBot="1" x14ac:dyDescent="0.3">
      <c r="B61" s="69">
        <v>57</v>
      </c>
      <c r="C61" s="131"/>
      <c r="D61" s="131"/>
      <c r="E61" s="69" t="s">
        <v>134</v>
      </c>
      <c r="F61" s="73" t="s">
        <v>78</v>
      </c>
      <c r="G61" s="109">
        <v>1017</v>
      </c>
      <c r="H61" s="109">
        <v>1029</v>
      </c>
      <c r="I61" s="109">
        <f t="shared" si="0"/>
        <v>1271.25</v>
      </c>
    </row>
    <row r="62" spans="2:9" ht="15.75" thickBot="1" x14ac:dyDescent="0.3">
      <c r="B62" s="69">
        <v>58</v>
      </c>
      <c r="C62" s="131"/>
      <c r="D62" s="69" t="s">
        <v>135</v>
      </c>
      <c r="E62" s="69" t="s">
        <v>136</v>
      </c>
      <c r="F62" s="73" t="s">
        <v>137</v>
      </c>
      <c r="G62" s="109">
        <f>1159+826</f>
        <v>1985</v>
      </c>
      <c r="H62" s="109">
        <f>1173+926</f>
        <v>2099</v>
      </c>
      <c r="I62" s="109">
        <f t="shared" si="0"/>
        <v>2481.25</v>
      </c>
    </row>
    <row r="63" spans="2:9" ht="15.75" thickBot="1" x14ac:dyDescent="0.3">
      <c r="B63" s="69">
        <v>59</v>
      </c>
      <c r="C63" s="131"/>
      <c r="D63" s="69" t="s">
        <v>135</v>
      </c>
      <c r="E63" s="69" t="s">
        <v>138</v>
      </c>
      <c r="F63" s="73" t="s">
        <v>139</v>
      </c>
      <c r="G63" s="109">
        <f>1262+827</f>
        <v>2089</v>
      </c>
      <c r="H63" s="109">
        <f>1305+1009</f>
        <v>2314</v>
      </c>
      <c r="I63" s="109">
        <f t="shared" si="0"/>
        <v>2611.25</v>
      </c>
    </row>
    <row r="64" spans="2:9" ht="15.75" thickBot="1" x14ac:dyDescent="0.3">
      <c r="B64" s="69">
        <v>60</v>
      </c>
      <c r="C64" s="131" t="s">
        <v>140</v>
      </c>
      <c r="D64" s="69">
        <v>3</v>
      </c>
      <c r="E64" s="69" t="s">
        <v>75</v>
      </c>
      <c r="F64" s="73" t="s">
        <v>76</v>
      </c>
      <c r="G64" s="109">
        <v>732</v>
      </c>
      <c r="H64" s="109">
        <v>747</v>
      </c>
      <c r="I64" s="109">
        <f t="shared" si="0"/>
        <v>915</v>
      </c>
    </row>
    <row r="65" spans="2:9" ht="15.75" thickBot="1" x14ac:dyDescent="0.3">
      <c r="B65" s="69">
        <v>61</v>
      </c>
      <c r="C65" s="131"/>
      <c r="D65" s="69"/>
      <c r="E65" s="69" t="s">
        <v>77</v>
      </c>
      <c r="F65" s="73" t="s">
        <v>78</v>
      </c>
      <c r="G65" s="109">
        <v>973</v>
      </c>
      <c r="H65" s="109">
        <v>989</v>
      </c>
      <c r="I65" s="109">
        <f t="shared" si="0"/>
        <v>1216.25</v>
      </c>
    </row>
    <row r="66" spans="2:9" ht="15.75" thickBot="1" x14ac:dyDescent="0.3">
      <c r="B66" s="69">
        <v>62</v>
      </c>
      <c r="C66" s="131"/>
      <c r="D66" s="69">
        <v>4</v>
      </c>
      <c r="E66" s="69" t="s">
        <v>79</v>
      </c>
      <c r="F66" s="73" t="s">
        <v>76</v>
      </c>
      <c r="G66" s="109">
        <v>732</v>
      </c>
      <c r="H66" s="109">
        <v>747</v>
      </c>
      <c r="I66" s="109">
        <f t="shared" si="0"/>
        <v>915</v>
      </c>
    </row>
    <row r="67" spans="2:9" ht="15.75" thickBot="1" x14ac:dyDescent="0.3">
      <c r="B67" s="69">
        <v>63</v>
      </c>
      <c r="C67" s="131"/>
      <c r="D67" s="69"/>
      <c r="E67" s="69" t="s">
        <v>141</v>
      </c>
      <c r="F67" s="73" t="s">
        <v>78</v>
      </c>
      <c r="G67" s="109">
        <v>1178</v>
      </c>
      <c r="H67" s="109">
        <v>1338</v>
      </c>
      <c r="I67" s="109">
        <f t="shared" si="0"/>
        <v>1472.5</v>
      </c>
    </row>
    <row r="68" spans="2:9" ht="15.75" thickBot="1" x14ac:dyDescent="0.3">
      <c r="B68" s="69">
        <v>64</v>
      </c>
      <c r="C68" s="131"/>
      <c r="D68" s="69"/>
      <c r="E68" s="69" t="s">
        <v>81</v>
      </c>
      <c r="F68" s="73" t="s">
        <v>78</v>
      </c>
      <c r="G68" s="109">
        <v>973</v>
      </c>
      <c r="H68" s="109">
        <v>988</v>
      </c>
      <c r="I68" s="109">
        <f t="shared" si="0"/>
        <v>1216.25</v>
      </c>
    </row>
    <row r="69" spans="2:9" ht="15.75" thickBot="1" x14ac:dyDescent="0.3">
      <c r="B69" s="69">
        <v>65</v>
      </c>
      <c r="C69" s="131"/>
      <c r="D69" s="69">
        <v>5</v>
      </c>
      <c r="E69" s="69" t="s">
        <v>82</v>
      </c>
      <c r="F69" s="73" t="s">
        <v>76</v>
      </c>
      <c r="G69" s="109">
        <v>732</v>
      </c>
      <c r="H69" s="109">
        <v>753</v>
      </c>
      <c r="I69" s="109">
        <f t="shared" si="0"/>
        <v>915</v>
      </c>
    </row>
    <row r="70" spans="2:9" ht="15.75" thickBot="1" x14ac:dyDescent="0.3">
      <c r="B70" s="69">
        <v>66</v>
      </c>
      <c r="C70" s="131"/>
      <c r="D70" s="69"/>
      <c r="E70" s="69" t="s">
        <v>83</v>
      </c>
      <c r="F70" s="73" t="s">
        <v>78</v>
      </c>
      <c r="G70" s="109">
        <v>1144</v>
      </c>
      <c r="H70" s="109">
        <v>1158</v>
      </c>
      <c r="I70" s="109">
        <f t="shared" ref="I70:I122" si="3">G70*(1.25)</f>
        <v>1430</v>
      </c>
    </row>
    <row r="71" spans="2:9" ht="15.75" thickBot="1" x14ac:dyDescent="0.3">
      <c r="B71" s="69">
        <v>67</v>
      </c>
      <c r="C71" s="131"/>
      <c r="D71" s="69"/>
      <c r="E71" s="69" t="s">
        <v>84</v>
      </c>
      <c r="F71" s="73" t="s">
        <v>78</v>
      </c>
      <c r="G71" s="109">
        <v>1095</v>
      </c>
      <c r="H71" s="109">
        <v>1110</v>
      </c>
      <c r="I71" s="109">
        <f t="shared" si="3"/>
        <v>1368.75</v>
      </c>
    </row>
    <row r="72" spans="2:9" ht="15.75" thickBot="1" x14ac:dyDescent="0.3">
      <c r="B72" s="69">
        <v>68</v>
      </c>
      <c r="C72" s="131"/>
      <c r="D72" s="69"/>
      <c r="E72" s="69" t="s">
        <v>86</v>
      </c>
      <c r="F72" s="73" t="s">
        <v>78</v>
      </c>
      <c r="G72" s="109">
        <v>973</v>
      </c>
      <c r="H72" s="109">
        <v>995</v>
      </c>
      <c r="I72" s="109">
        <f t="shared" si="3"/>
        <v>1216.25</v>
      </c>
    </row>
    <row r="73" spans="2:9" ht="15.75" thickBot="1" x14ac:dyDescent="0.3">
      <c r="B73" s="69">
        <v>69</v>
      </c>
      <c r="C73" s="131"/>
      <c r="D73" s="69">
        <v>6</v>
      </c>
      <c r="E73" s="69" t="s">
        <v>87</v>
      </c>
      <c r="F73" s="73" t="s">
        <v>76</v>
      </c>
      <c r="G73" s="109">
        <v>732</v>
      </c>
      <c r="H73" s="109">
        <v>747</v>
      </c>
      <c r="I73" s="109">
        <f t="shared" si="3"/>
        <v>915</v>
      </c>
    </row>
    <row r="74" spans="2:9" ht="15.75" thickBot="1" x14ac:dyDescent="0.3">
      <c r="B74" s="69">
        <v>70</v>
      </c>
      <c r="C74" s="131"/>
      <c r="D74" s="69"/>
      <c r="E74" s="69" t="s">
        <v>88</v>
      </c>
      <c r="F74" s="73" t="s">
        <v>78</v>
      </c>
      <c r="G74" s="109">
        <v>1144</v>
      </c>
      <c r="H74" s="109">
        <v>1158</v>
      </c>
      <c r="I74" s="109">
        <f t="shared" si="3"/>
        <v>1430</v>
      </c>
    </row>
    <row r="75" spans="2:9" ht="15.75" thickBot="1" x14ac:dyDescent="0.3">
      <c r="B75" s="69">
        <v>71</v>
      </c>
      <c r="C75" s="131"/>
      <c r="D75" s="69"/>
      <c r="E75" s="69" t="s">
        <v>89</v>
      </c>
      <c r="F75" s="73" t="s">
        <v>78</v>
      </c>
      <c r="G75" s="109">
        <v>1095</v>
      </c>
      <c r="H75" s="109">
        <v>1107</v>
      </c>
      <c r="I75" s="109">
        <f t="shared" si="3"/>
        <v>1368.75</v>
      </c>
    </row>
    <row r="76" spans="2:9" ht="15.75" thickBot="1" x14ac:dyDescent="0.3">
      <c r="B76" s="69">
        <v>72</v>
      </c>
      <c r="C76" s="131"/>
      <c r="D76" s="69"/>
      <c r="E76" s="69" t="s">
        <v>90</v>
      </c>
      <c r="F76" s="73" t="s">
        <v>78</v>
      </c>
      <c r="G76" s="109">
        <v>973</v>
      </c>
      <c r="H76" s="109">
        <v>989</v>
      </c>
      <c r="I76" s="109">
        <f t="shared" si="3"/>
        <v>1216.25</v>
      </c>
    </row>
    <row r="77" spans="2:9" ht="15.75" thickBot="1" x14ac:dyDescent="0.3">
      <c r="B77" s="69">
        <v>73</v>
      </c>
      <c r="C77" s="131"/>
      <c r="D77" s="69">
        <v>7</v>
      </c>
      <c r="E77" s="69" t="s">
        <v>91</v>
      </c>
      <c r="F77" s="73" t="s">
        <v>76</v>
      </c>
      <c r="G77" s="109">
        <v>732</v>
      </c>
      <c r="H77" s="109">
        <v>747</v>
      </c>
      <c r="I77" s="109">
        <f t="shared" si="3"/>
        <v>915</v>
      </c>
    </row>
    <row r="78" spans="2:9" ht="15.75" thickBot="1" x14ac:dyDescent="0.3">
      <c r="B78" s="69">
        <v>74</v>
      </c>
      <c r="C78" s="131"/>
      <c r="D78" s="69"/>
      <c r="E78" s="69" t="s">
        <v>92</v>
      </c>
      <c r="F78" s="73" t="s">
        <v>78</v>
      </c>
      <c r="G78" s="109">
        <v>1144</v>
      </c>
      <c r="H78" s="109">
        <v>1165</v>
      </c>
      <c r="I78" s="109">
        <f t="shared" si="3"/>
        <v>1430</v>
      </c>
    </row>
    <row r="79" spans="2:9" ht="15.75" thickBot="1" x14ac:dyDescent="0.3">
      <c r="B79" s="69">
        <v>75</v>
      </c>
      <c r="C79" s="131"/>
      <c r="D79" s="69"/>
      <c r="E79" s="69" t="s">
        <v>93</v>
      </c>
      <c r="F79" s="73" t="s">
        <v>78</v>
      </c>
      <c r="G79" s="109">
        <v>1095</v>
      </c>
      <c r="H79" s="109">
        <v>1109</v>
      </c>
      <c r="I79" s="109">
        <f t="shared" si="3"/>
        <v>1368.75</v>
      </c>
    </row>
    <row r="80" spans="2:9" ht="15.75" thickBot="1" x14ac:dyDescent="0.3">
      <c r="B80" s="69">
        <v>76</v>
      </c>
      <c r="C80" s="131"/>
      <c r="D80" s="69"/>
      <c r="E80" s="69" t="s">
        <v>94</v>
      </c>
      <c r="F80" s="73" t="s">
        <v>78</v>
      </c>
      <c r="G80" s="109">
        <v>973</v>
      </c>
      <c r="H80" s="109">
        <v>988</v>
      </c>
      <c r="I80" s="109">
        <f t="shared" si="3"/>
        <v>1216.25</v>
      </c>
    </row>
    <row r="81" spans="2:9" ht="15.75" thickBot="1" x14ac:dyDescent="0.3">
      <c r="B81" s="69">
        <v>77</v>
      </c>
      <c r="C81" s="131"/>
      <c r="D81" s="69">
        <v>8</v>
      </c>
      <c r="E81" s="69" t="s">
        <v>95</v>
      </c>
      <c r="F81" s="73" t="s">
        <v>76</v>
      </c>
      <c r="G81" s="109">
        <v>732</v>
      </c>
      <c r="H81" s="109">
        <v>753</v>
      </c>
      <c r="I81" s="109">
        <f t="shared" si="3"/>
        <v>915</v>
      </c>
    </row>
    <row r="82" spans="2:9" ht="15.75" thickBot="1" x14ac:dyDescent="0.3">
      <c r="B82" s="69">
        <v>78</v>
      </c>
      <c r="C82" s="131"/>
      <c r="D82" s="69"/>
      <c r="E82" s="69" t="s">
        <v>96</v>
      </c>
      <c r="F82" s="73" t="s">
        <v>78</v>
      </c>
      <c r="G82" s="109">
        <v>1144</v>
      </c>
      <c r="H82" s="109">
        <v>1158</v>
      </c>
      <c r="I82" s="109">
        <f t="shared" si="3"/>
        <v>1430</v>
      </c>
    </row>
    <row r="83" spans="2:9" ht="15.75" thickBot="1" x14ac:dyDescent="0.3">
      <c r="B83" s="69">
        <v>79</v>
      </c>
      <c r="C83" s="131"/>
      <c r="D83" s="69"/>
      <c r="E83" s="69" t="s">
        <v>97</v>
      </c>
      <c r="F83" s="73" t="s">
        <v>78</v>
      </c>
      <c r="G83" s="109">
        <v>1095</v>
      </c>
      <c r="H83" s="109">
        <v>1110</v>
      </c>
      <c r="I83" s="109">
        <f t="shared" si="3"/>
        <v>1368.75</v>
      </c>
    </row>
    <row r="84" spans="2:9" ht="15.75" thickBot="1" x14ac:dyDescent="0.3">
      <c r="B84" s="69">
        <v>80</v>
      </c>
      <c r="C84" s="131"/>
      <c r="D84" s="69"/>
      <c r="E84" s="69" t="s">
        <v>98</v>
      </c>
      <c r="F84" s="73" t="s">
        <v>78</v>
      </c>
      <c r="G84" s="109">
        <v>973</v>
      </c>
      <c r="H84" s="109">
        <v>995</v>
      </c>
      <c r="I84" s="109">
        <f t="shared" si="3"/>
        <v>1216.25</v>
      </c>
    </row>
    <row r="85" spans="2:9" ht="15.75" thickBot="1" x14ac:dyDescent="0.3">
      <c r="B85" s="69">
        <v>81</v>
      </c>
      <c r="C85" s="131"/>
      <c r="D85" s="69">
        <v>9</v>
      </c>
      <c r="E85" s="69" t="s">
        <v>99</v>
      </c>
      <c r="F85" s="73" t="s">
        <v>76</v>
      </c>
      <c r="G85" s="109">
        <v>732</v>
      </c>
      <c r="H85" s="109">
        <v>747</v>
      </c>
      <c r="I85" s="109">
        <f t="shared" si="3"/>
        <v>915</v>
      </c>
    </row>
    <row r="86" spans="2:9" ht="15.75" thickBot="1" x14ac:dyDescent="0.3">
      <c r="B86" s="69">
        <v>82</v>
      </c>
      <c r="C86" s="131"/>
      <c r="D86" s="69"/>
      <c r="E86" s="69" t="s">
        <v>100</v>
      </c>
      <c r="F86" s="73" t="s">
        <v>78</v>
      </c>
      <c r="G86" s="109">
        <v>1144</v>
      </c>
      <c r="H86" s="109">
        <v>1158</v>
      </c>
      <c r="I86" s="109">
        <f t="shared" si="3"/>
        <v>1430</v>
      </c>
    </row>
    <row r="87" spans="2:9" ht="15.75" thickBot="1" x14ac:dyDescent="0.3">
      <c r="B87" s="69">
        <v>83</v>
      </c>
      <c r="C87" s="131"/>
      <c r="D87" s="69"/>
      <c r="E87" s="69" t="s">
        <v>101</v>
      </c>
      <c r="F87" s="73" t="s">
        <v>78</v>
      </c>
      <c r="G87" s="109">
        <v>1095</v>
      </c>
      <c r="H87" s="109">
        <v>1107</v>
      </c>
      <c r="I87" s="109">
        <f t="shared" si="3"/>
        <v>1368.75</v>
      </c>
    </row>
    <row r="88" spans="2:9" ht="15.75" thickBot="1" x14ac:dyDescent="0.3">
      <c r="B88" s="69">
        <v>84</v>
      </c>
      <c r="C88" s="131"/>
      <c r="D88" s="69"/>
      <c r="E88" s="69" t="s">
        <v>102</v>
      </c>
      <c r="F88" s="73" t="s">
        <v>78</v>
      </c>
      <c r="G88" s="109">
        <v>973</v>
      </c>
      <c r="H88" s="109">
        <v>989</v>
      </c>
      <c r="I88" s="109">
        <f t="shared" si="3"/>
        <v>1216.25</v>
      </c>
    </row>
    <row r="89" spans="2:9" ht="15.75" thickBot="1" x14ac:dyDescent="0.3">
      <c r="B89" s="69">
        <v>85</v>
      </c>
      <c r="C89" s="131"/>
      <c r="D89" s="69">
        <v>10</v>
      </c>
      <c r="E89" s="69" t="s">
        <v>103</v>
      </c>
      <c r="F89" s="73" t="s">
        <v>76</v>
      </c>
      <c r="G89" s="109">
        <v>732</v>
      </c>
      <c r="H89" s="109">
        <v>747</v>
      </c>
      <c r="I89" s="109">
        <f t="shared" si="3"/>
        <v>915</v>
      </c>
    </row>
    <row r="90" spans="2:9" ht="15.75" thickBot="1" x14ac:dyDescent="0.3">
      <c r="B90" s="69">
        <v>86</v>
      </c>
      <c r="C90" s="131"/>
      <c r="D90" s="69"/>
      <c r="E90" s="69" t="s">
        <v>104</v>
      </c>
      <c r="F90" s="73" t="s">
        <v>78</v>
      </c>
      <c r="G90" s="109">
        <v>1144</v>
      </c>
      <c r="H90" s="109">
        <v>1165</v>
      </c>
      <c r="I90" s="109">
        <f t="shared" si="3"/>
        <v>1430</v>
      </c>
    </row>
    <row r="91" spans="2:9" ht="15.75" thickBot="1" x14ac:dyDescent="0.3">
      <c r="B91" s="69">
        <v>87</v>
      </c>
      <c r="C91" s="131"/>
      <c r="D91" s="69"/>
      <c r="E91" s="69" t="s">
        <v>105</v>
      </c>
      <c r="F91" s="73" t="s">
        <v>78</v>
      </c>
      <c r="G91" s="109">
        <v>1095</v>
      </c>
      <c r="H91" s="109">
        <v>1109</v>
      </c>
      <c r="I91" s="109">
        <f t="shared" si="3"/>
        <v>1368.75</v>
      </c>
    </row>
    <row r="92" spans="2:9" ht="15.75" thickBot="1" x14ac:dyDescent="0.3">
      <c r="B92" s="69">
        <v>88</v>
      </c>
      <c r="C92" s="131"/>
      <c r="D92" s="69"/>
      <c r="E92" s="69" t="s">
        <v>106</v>
      </c>
      <c r="F92" s="73" t="s">
        <v>78</v>
      </c>
      <c r="G92" s="109">
        <v>973</v>
      </c>
      <c r="H92" s="109">
        <v>988</v>
      </c>
      <c r="I92" s="109">
        <f t="shared" si="3"/>
        <v>1216.25</v>
      </c>
    </row>
    <row r="93" spans="2:9" ht="15.75" thickBot="1" x14ac:dyDescent="0.3">
      <c r="B93" s="69">
        <v>89</v>
      </c>
      <c r="C93" s="131"/>
      <c r="D93" s="69">
        <v>11</v>
      </c>
      <c r="E93" s="69" t="s">
        <v>107</v>
      </c>
      <c r="F93" s="73" t="s">
        <v>76</v>
      </c>
      <c r="G93" s="109">
        <v>732</v>
      </c>
      <c r="H93" s="109">
        <v>753</v>
      </c>
      <c r="I93" s="109">
        <f t="shared" si="3"/>
        <v>915</v>
      </c>
    </row>
    <row r="94" spans="2:9" ht="15.75" thickBot="1" x14ac:dyDescent="0.3">
      <c r="B94" s="69">
        <v>90</v>
      </c>
      <c r="C94" s="131"/>
      <c r="D94" s="69"/>
      <c r="E94" s="69" t="s">
        <v>108</v>
      </c>
      <c r="F94" s="73" t="s">
        <v>78</v>
      </c>
      <c r="G94" s="109">
        <v>1144</v>
      </c>
      <c r="H94" s="109">
        <v>1158</v>
      </c>
      <c r="I94" s="109">
        <f t="shared" si="3"/>
        <v>1430</v>
      </c>
    </row>
    <row r="95" spans="2:9" ht="15.75" thickBot="1" x14ac:dyDescent="0.3">
      <c r="B95" s="69">
        <v>91</v>
      </c>
      <c r="C95" s="131"/>
      <c r="D95" s="69"/>
      <c r="E95" s="69" t="s">
        <v>109</v>
      </c>
      <c r="F95" s="73" t="s">
        <v>78</v>
      </c>
      <c r="G95" s="109">
        <v>1095</v>
      </c>
      <c r="H95" s="109">
        <v>1110</v>
      </c>
      <c r="I95" s="109">
        <f t="shared" si="3"/>
        <v>1368.75</v>
      </c>
    </row>
    <row r="96" spans="2:9" ht="15.75" thickBot="1" x14ac:dyDescent="0.3">
      <c r="B96" s="69">
        <v>92</v>
      </c>
      <c r="C96" s="131"/>
      <c r="D96" s="69"/>
      <c r="E96" s="69" t="s">
        <v>110</v>
      </c>
      <c r="F96" s="73" t="s">
        <v>78</v>
      </c>
      <c r="G96" s="109">
        <v>973</v>
      </c>
      <c r="H96" s="109">
        <v>995</v>
      </c>
      <c r="I96" s="109">
        <f t="shared" si="3"/>
        <v>1216.25</v>
      </c>
    </row>
    <row r="97" spans="2:9" ht="15.75" thickBot="1" x14ac:dyDescent="0.3">
      <c r="B97" s="69">
        <v>93</v>
      </c>
      <c r="C97" s="131"/>
      <c r="D97" s="69">
        <v>12</v>
      </c>
      <c r="E97" s="69" t="s">
        <v>111</v>
      </c>
      <c r="F97" s="73" t="s">
        <v>76</v>
      </c>
      <c r="G97" s="109">
        <v>732</v>
      </c>
      <c r="H97" s="109">
        <v>747</v>
      </c>
      <c r="I97" s="109">
        <f t="shared" si="3"/>
        <v>915</v>
      </c>
    </row>
    <row r="98" spans="2:9" ht="15.75" thickBot="1" x14ac:dyDescent="0.3">
      <c r="B98" s="69">
        <v>94</v>
      </c>
      <c r="C98" s="131"/>
      <c r="D98" s="69"/>
      <c r="E98" s="69" t="s">
        <v>112</v>
      </c>
      <c r="F98" s="73" t="s">
        <v>78</v>
      </c>
      <c r="G98" s="109">
        <v>1144</v>
      </c>
      <c r="H98" s="109">
        <v>1158</v>
      </c>
      <c r="I98" s="109">
        <f t="shared" si="3"/>
        <v>1430</v>
      </c>
    </row>
    <row r="99" spans="2:9" ht="15.75" thickBot="1" x14ac:dyDescent="0.3">
      <c r="B99" s="69">
        <v>95</v>
      </c>
      <c r="C99" s="131"/>
      <c r="D99" s="69"/>
      <c r="E99" s="69" t="s">
        <v>113</v>
      </c>
      <c r="F99" s="73" t="s">
        <v>78</v>
      </c>
      <c r="G99" s="109">
        <v>1095</v>
      </c>
      <c r="H99" s="109">
        <v>1107</v>
      </c>
      <c r="I99" s="109">
        <f t="shared" si="3"/>
        <v>1368.75</v>
      </c>
    </row>
    <row r="100" spans="2:9" ht="15.75" thickBot="1" x14ac:dyDescent="0.3">
      <c r="B100" s="69">
        <v>96</v>
      </c>
      <c r="C100" s="131"/>
      <c r="D100" s="69"/>
      <c r="E100" s="69" t="s">
        <v>114</v>
      </c>
      <c r="F100" s="73" t="s">
        <v>78</v>
      </c>
      <c r="G100" s="109">
        <v>973</v>
      </c>
      <c r="H100" s="109">
        <v>989</v>
      </c>
      <c r="I100" s="109">
        <f t="shared" si="3"/>
        <v>1216.25</v>
      </c>
    </row>
    <row r="101" spans="2:9" ht="15.75" thickBot="1" x14ac:dyDescent="0.3">
      <c r="B101" s="69">
        <v>97</v>
      </c>
      <c r="C101" s="131"/>
      <c r="D101" s="69">
        <v>13</v>
      </c>
      <c r="E101" s="69" t="s">
        <v>115</v>
      </c>
      <c r="F101" s="73" t="s">
        <v>76</v>
      </c>
      <c r="G101" s="109">
        <v>732</v>
      </c>
      <c r="H101" s="109">
        <v>747</v>
      </c>
      <c r="I101" s="109">
        <f t="shared" si="3"/>
        <v>915</v>
      </c>
    </row>
    <row r="102" spans="2:9" ht="15.75" thickBot="1" x14ac:dyDescent="0.3">
      <c r="B102" s="69">
        <v>98</v>
      </c>
      <c r="C102" s="131"/>
      <c r="D102" s="69"/>
      <c r="E102" s="69" t="s">
        <v>116</v>
      </c>
      <c r="F102" s="73" t="s">
        <v>78</v>
      </c>
      <c r="G102" s="109">
        <v>1144</v>
      </c>
      <c r="H102" s="109">
        <v>1165</v>
      </c>
      <c r="I102" s="109">
        <f t="shared" si="3"/>
        <v>1430</v>
      </c>
    </row>
    <row r="103" spans="2:9" ht="15.75" thickBot="1" x14ac:dyDescent="0.3">
      <c r="B103" s="69">
        <v>99</v>
      </c>
      <c r="C103" s="131"/>
      <c r="D103" s="69"/>
      <c r="E103" s="69" t="s">
        <v>117</v>
      </c>
      <c r="F103" s="73" t="s">
        <v>78</v>
      </c>
      <c r="G103" s="109">
        <v>1095</v>
      </c>
      <c r="H103" s="109">
        <v>1109</v>
      </c>
      <c r="I103" s="109">
        <f t="shared" si="3"/>
        <v>1368.75</v>
      </c>
    </row>
    <row r="104" spans="2:9" ht="15.75" thickBot="1" x14ac:dyDescent="0.3">
      <c r="B104" s="69">
        <v>100</v>
      </c>
      <c r="C104" s="131"/>
      <c r="D104" s="69"/>
      <c r="E104" s="69" t="s">
        <v>118</v>
      </c>
      <c r="F104" s="73" t="s">
        <v>78</v>
      </c>
      <c r="G104" s="109">
        <v>973</v>
      </c>
      <c r="H104" s="109">
        <v>988</v>
      </c>
      <c r="I104" s="109">
        <f t="shared" si="3"/>
        <v>1216.25</v>
      </c>
    </row>
    <row r="105" spans="2:9" ht="15.75" thickBot="1" x14ac:dyDescent="0.3">
      <c r="B105" s="69">
        <v>101</v>
      </c>
      <c r="C105" s="131"/>
      <c r="D105" s="69">
        <v>14</v>
      </c>
      <c r="E105" s="69" t="s">
        <v>119</v>
      </c>
      <c r="F105" s="73" t="s">
        <v>76</v>
      </c>
      <c r="G105" s="109">
        <v>732</v>
      </c>
      <c r="H105" s="109">
        <v>753</v>
      </c>
      <c r="I105" s="109">
        <f t="shared" si="3"/>
        <v>915</v>
      </c>
    </row>
    <row r="106" spans="2:9" ht="15.75" thickBot="1" x14ac:dyDescent="0.3">
      <c r="B106" s="69">
        <v>102</v>
      </c>
      <c r="C106" s="131"/>
      <c r="D106" s="69"/>
      <c r="E106" s="69" t="s">
        <v>120</v>
      </c>
      <c r="F106" s="73" t="s">
        <v>78</v>
      </c>
      <c r="G106" s="109">
        <v>1144</v>
      </c>
      <c r="H106" s="109">
        <v>1158</v>
      </c>
      <c r="I106" s="109">
        <f t="shared" si="3"/>
        <v>1430</v>
      </c>
    </row>
    <row r="107" spans="2:9" ht="15.75" thickBot="1" x14ac:dyDescent="0.3">
      <c r="B107" s="69">
        <v>103</v>
      </c>
      <c r="C107" s="131"/>
      <c r="D107" s="69"/>
      <c r="E107" s="69" t="s">
        <v>121</v>
      </c>
      <c r="F107" s="73" t="s">
        <v>78</v>
      </c>
      <c r="G107" s="109">
        <v>1095</v>
      </c>
      <c r="H107" s="109">
        <v>1110</v>
      </c>
      <c r="I107" s="109">
        <f t="shared" si="3"/>
        <v>1368.75</v>
      </c>
    </row>
    <row r="108" spans="2:9" ht="15.75" thickBot="1" x14ac:dyDescent="0.3">
      <c r="B108" s="69">
        <v>104</v>
      </c>
      <c r="C108" s="131"/>
      <c r="D108" s="69"/>
      <c r="E108" s="69" t="s">
        <v>122</v>
      </c>
      <c r="F108" s="73" t="s">
        <v>78</v>
      </c>
      <c r="G108" s="109">
        <v>973</v>
      </c>
      <c r="H108" s="109">
        <v>995</v>
      </c>
      <c r="I108" s="109">
        <f t="shared" si="3"/>
        <v>1216.25</v>
      </c>
    </row>
    <row r="109" spans="2:9" ht="15.75" thickBot="1" x14ac:dyDescent="0.3">
      <c r="B109" s="69">
        <v>105</v>
      </c>
      <c r="C109" s="131"/>
      <c r="D109" s="69">
        <v>15</v>
      </c>
      <c r="E109" s="69" t="s">
        <v>123</v>
      </c>
      <c r="F109" s="73" t="s">
        <v>76</v>
      </c>
      <c r="G109" s="109">
        <v>732</v>
      </c>
      <c r="H109" s="109">
        <v>747</v>
      </c>
      <c r="I109" s="109">
        <f t="shared" si="3"/>
        <v>915</v>
      </c>
    </row>
    <row r="110" spans="2:9" ht="15.75" thickBot="1" x14ac:dyDescent="0.3">
      <c r="B110" s="69">
        <v>106</v>
      </c>
      <c r="C110" s="131"/>
      <c r="D110" s="69"/>
      <c r="E110" s="69" t="s">
        <v>124</v>
      </c>
      <c r="F110" s="73" t="s">
        <v>78</v>
      </c>
      <c r="G110" s="109">
        <v>1144</v>
      </c>
      <c r="H110" s="109">
        <v>1158</v>
      </c>
      <c r="I110" s="109">
        <f t="shared" si="3"/>
        <v>1430</v>
      </c>
    </row>
    <row r="111" spans="2:9" ht="15.75" thickBot="1" x14ac:dyDescent="0.3">
      <c r="B111" s="69">
        <v>107</v>
      </c>
      <c r="C111" s="131"/>
      <c r="D111" s="69"/>
      <c r="E111" s="69" t="s">
        <v>125</v>
      </c>
      <c r="F111" s="73" t="s">
        <v>78</v>
      </c>
      <c r="G111" s="109">
        <v>1095</v>
      </c>
      <c r="H111" s="109">
        <v>1107</v>
      </c>
      <c r="I111" s="109">
        <f t="shared" si="3"/>
        <v>1368.75</v>
      </c>
    </row>
    <row r="112" spans="2:9" ht="15.75" thickBot="1" x14ac:dyDescent="0.3">
      <c r="B112" s="69">
        <v>108</v>
      </c>
      <c r="C112" s="131"/>
      <c r="D112" s="69"/>
      <c r="E112" s="69" t="s">
        <v>126</v>
      </c>
      <c r="F112" s="73" t="s">
        <v>78</v>
      </c>
      <c r="G112" s="109">
        <v>973</v>
      </c>
      <c r="H112" s="109">
        <v>989</v>
      </c>
      <c r="I112" s="109">
        <f t="shared" si="3"/>
        <v>1216.25</v>
      </c>
    </row>
    <row r="113" spans="2:9" ht="15.75" thickBot="1" x14ac:dyDescent="0.3">
      <c r="B113" s="69">
        <v>109</v>
      </c>
      <c r="C113" s="131"/>
      <c r="D113" s="69">
        <v>16</v>
      </c>
      <c r="E113" s="69" t="s">
        <v>127</v>
      </c>
      <c r="F113" s="73" t="s">
        <v>76</v>
      </c>
      <c r="G113" s="109">
        <v>732</v>
      </c>
      <c r="H113" s="109">
        <v>747</v>
      </c>
      <c r="I113" s="109">
        <f t="shared" si="3"/>
        <v>915</v>
      </c>
    </row>
    <row r="114" spans="2:9" ht="15.75" thickBot="1" x14ac:dyDescent="0.3">
      <c r="B114" s="69">
        <v>110</v>
      </c>
      <c r="C114" s="131"/>
      <c r="D114" s="69"/>
      <c r="E114" s="69" t="s">
        <v>128</v>
      </c>
      <c r="F114" s="73" t="s">
        <v>78</v>
      </c>
      <c r="G114" s="109">
        <v>1144</v>
      </c>
      <c r="H114" s="109">
        <v>1165</v>
      </c>
      <c r="I114" s="109">
        <f t="shared" si="3"/>
        <v>1430</v>
      </c>
    </row>
    <row r="115" spans="2:9" ht="15.75" thickBot="1" x14ac:dyDescent="0.3">
      <c r="B115" s="69">
        <v>111</v>
      </c>
      <c r="C115" s="131"/>
      <c r="D115" s="69"/>
      <c r="E115" s="69" t="s">
        <v>129</v>
      </c>
      <c r="F115" s="73" t="s">
        <v>78</v>
      </c>
      <c r="G115" s="109">
        <v>1095</v>
      </c>
      <c r="H115" s="109">
        <v>1109</v>
      </c>
      <c r="I115" s="109">
        <f t="shared" si="3"/>
        <v>1368.75</v>
      </c>
    </row>
    <row r="116" spans="2:9" ht="15.75" thickBot="1" x14ac:dyDescent="0.3">
      <c r="B116" s="69">
        <v>112</v>
      </c>
      <c r="C116" s="131"/>
      <c r="D116" s="69"/>
      <c r="E116" s="69" t="s">
        <v>130</v>
      </c>
      <c r="F116" s="73" t="s">
        <v>78</v>
      </c>
      <c r="G116" s="109">
        <v>973</v>
      </c>
      <c r="H116" s="109">
        <v>988</v>
      </c>
      <c r="I116" s="109">
        <f t="shared" si="3"/>
        <v>1216.25</v>
      </c>
    </row>
    <row r="117" spans="2:9" ht="15.75" thickBot="1" x14ac:dyDescent="0.3">
      <c r="B117" s="69">
        <v>113</v>
      </c>
      <c r="C117" s="131"/>
      <c r="D117" s="69">
        <v>17</v>
      </c>
      <c r="E117" s="69" t="s">
        <v>131</v>
      </c>
      <c r="F117" s="73" t="s">
        <v>76</v>
      </c>
      <c r="G117" s="109">
        <v>732</v>
      </c>
      <c r="H117" s="109">
        <v>753</v>
      </c>
      <c r="I117" s="109">
        <f t="shared" si="3"/>
        <v>915</v>
      </c>
    </row>
    <row r="118" spans="2:9" ht="15.75" thickBot="1" x14ac:dyDescent="0.3">
      <c r="B118" s="69">
        <v>114</v>
      </c>
      <c r="C118" s="131"/>
      <c r="D118" s="69"/>
      <c r="E118" s="69" t="s">
        <v>132</v>
      </c>
      <c r="F118" s="73" t="s">
        <v>78</v>
      </c>
      <c r="G118" s="109">
        <v>973</v>
      </c>
      <c r="H118" s="109">
        <v>995</v>
      </c>
      <c r="I118" s="109">
        <f t="shared" si="3"/>
        <v>1216.25</v>
      </c>
    </row>
    <row r="119" spans="2:9" ht="15.75" thickBot="1" x14ac:dyDescent="0.3">
      <c r="B119" s="69">
        <v>115</v>
      </c>
      <c r="C119" s="131"/>
      <c r="D119" s="69">
        <v>18</v>
      </c>
      <c r="E119" s="69" t="s">
        <v>133</v>
      </c>
      <c r="F119" s="73" t="s">
        <v>76</v>
      </c>
      <c r="G119" s="109">
        <v>732</v>
      </c>
      <c r="H119" s="109">
        <v>753</v>
      </c>
      <c r="I119" s="109">
        <f t="shared" si="3"/>
        <v>915</v>
      </c>
    </row>
    <row r="120" spans="2:9" ht="15.75" thickBot="1" x14ac:dyDescent="0.3">
      <c r="B120" s="69">
        <v>116</v>
      </c>
      <c r="C120" s="131"/>
      <c r="D120" s="69"/>
      <c r="E120" s="69" t="s">
        <v>134</v>
      </c>
      <c r="F120" s="73" t="s">
        <v>78</v>
      </c>
      <c r="G120" s="109">
        <v>973</v>
      </c>
      <c r="H120" s="109">
        <v>995</v>
      </c>
      <c r="I120" s="109">
        <f t="shared" si="3"/>
        <v>1216.25</v>
      </c>
    </row>
    <row r="121" spans="2:9" ht="15.75" thickBot="1" x14ac:dyDescent="0.3">
      <c r="B121" s="69">
        <v>117</v>
      </c>
      <c r="C121" s="131"/>
      <c r="D121" s="69" t="s">
        <v>135</v>
      </c>
      <c r="E121" s="69" t="s">
        <v>136</v>
      </c>
      <c r="F121" s="73" t="s">
        <v>137</v>
      </c>
      <c r="G121" s="109">
        <f>1144+820</f>
        <v>1964</v>
      </c>
      <c r="H121" s="109">
        <f>1158+917</f>
        <v>2075</v>
      </c>
      <c r="I121" s="109">
        <f t="shared" si="3"/>
        <v>2455</v>
      </c>
    </row>
    <row r="122" spans="2:9" ht="15.75" thickBot="1" x14ac:dyDescent="0.3">
      <c r="B122" s="69">
        <v>118</v>
      </c>
      <c r="C122" s="131"/>
      <c r="D122" s="69" t="s">
        <v>135</v>
      </c>
      <c r="E122" s="69" t="s">
        <v>138</v>
      </c>
      <c r="F122" s="73" t="s">
        <v>137</v>
      </c>
      <c r="G122" s="109">
        <f>1095+575</f>
        <v>1670</v>
      </c>
      <c r="H122" s="109">
        <f>1110+799</f>
        <v>1909</v>
      </c>
      <c r="I122" s="109">
        <f t="shared" si="3"/>
        <v>2087.5</v>
      </c>
    </row>
    <row r="123" spans="2:9" ht="15.75" thickBot="1" x14ac:dyDescent="0.3">
      <c r="B123" s="130" t="s">
        <v>142</v>
      </c>
      <c r="C123" s="130"/>
      <c r="D123" s="130"/>
      <c r="E123" s="130"/>
      <c r="F123" s="70"/>
      <c r="G123" s="110">
        <f>SUM(G5:G122)</f>
        <v>122368</v>
      </c>
      <c r="H123" s="110">
        <f>SUM(H5:H122)</f>
        <v>125157</v>
      </c>
      <c r="I123" s="110">
        <f>SUM(I5:I122)</f>
        <v>152960</v>
      </c>
    </row>
  </sheetData>
  <mergeCells count="21">
    <mergeCell ref="K11:L11"/>
    <mergeCell ref="K4:L4"/>
    <mergeCell ref="D22:D25"/>
    <mergeCell ref="D60:D61"/>
    <mergeCell ref="D58:D59"/>
    <mergeCell ref="D54:D57"/>
    <mergeCell ref="D50:D53"/>
    <mergeCell ref="D46:D49"/>
    <mergeCell ref="D42:D45"/>
    <mergeCell ref="D38:D41"/>
    <mergeCell ref="D34:D37"/>
    <mergeCell ref="B123:E123"/>
    <mergeCell ref="C5:C63"/>
    <mergeCell ref="C64:C122"/>
    <mergeCell ref="D18:D21"/>
    <mergeCell ref="D14:D17"/>
    <mergeCell ref="D10:D13"/>
    <mergeCell ref="D7:D9"/>
    <mergeCell ref="D5:D6"/>
    <mergeCell ref="D30:D33"/>
    <mergeCell ref="D26:D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B2:XEP19"/>
  <sheetViews>
    <sheetView workbookViewId="0"/>
  </sheetViews>
  <sheetFormatPr defaultColWidth="8.85546875" defaultRowHeight="15" x14ac:dyDescent="0.25"/>
  <cols>
    <col min="1" max="1" width="2" style="2" customWidth="1"/>
    <col min="2" max="2" width="61.140625" style="2" bestFit="1" customWidth="1"/>
    <col min="3" max="3" width="16.85546875" style="2" bestFit="1" customWidth="1"/>
    <col min="4" max="4" width="12.28515625" style="2" customWidth="1"/>
    <col min="5" max="5" width="10" style="2" bestFit="1" customWidth="1"/>
    <col min="6" max="6" width="14.28515625" style="2" bestFit="1" customWidth="1"/>
    <col min="7" max="7" width="12.28515625" style="2" bestFit="1" customWidth="1"/>
    <col min="8" max="8" width="15.5703125" style="2" bestFit="1" customWidth="1"/>
    <col min="9" max="9" width="20.5703125" style="2" bestFit="1" customWidth="1"/>
    <col min="10" max="10" width="26.7109375" style="2" bestFit="1" customWidth="1"/>
    <col min="11" max="11" width="7" style="2" bestFit="1" customWidth="1"/>
    <col min="12" max="13" width="9.7109375" style="2" bestFit="1" customWidth="1"/>
    <col min="14" max="16" width="10.7109375" style="2" bestFit="1" customWidth="1"/>
    <col min="17" max="16384" width="8.85546875" style="2"/>
  </cols>
  <sheetData>
    <row r="2" spans="2:8 16370:16370" ht="21" x14ac:dyDescent="0.35">
      <c r="B2" s="134" t="s">
        <v>179</v>
      </c>
      <c r="C2" s="134"/>
      <c r="D2" s="134"/>
      <c r="E2" s="134"/>
      <c r="F2" s="134"/>
      <c r="G2" s="134"/>
    </row>
    <row r="3" spans="2:8 16370:16370" ht="15.75" thickBot="1" x14ac:dyDescent="0.3"/>
    <row r="4" spans="2:8 16370:16370" ht="45.75" customHeight="1" thickTop="1" thickBot="1" x14ac:dyDescent="0.3">
      <c r="B4" s="20" t="s">
        <v>11</v>
      </c>
      <c r="C4" s="21" t="s">
        <v>59</v>
      </c>
      <c r="D4" s="21" t="s">
        <v>18</v>
      </c>
      <c r="E4" s="21" t="s">
        <v>19</v>
      </c>
      <c r="F4" s="21" t="s">
        <v>58</v>
      </c>
      <c r="G4" s="21" t="s">
        <v>20</v>
      </c>
      <c r="H4" s="21" t="s">
        <v>150</v>
      </c>
    </row>
    <row r="5" spans="2:8 16370:16370" ht="16.5" thickTop="1" thickBot="1" x14ac:dyDescent="0.3">
      <c r="B5" s="17"/>
      <c r="C5" s="17"/>
      <c r="D5" s="17"/>
      <c r="E5" s="17"/>
      <c r="F5" s="17"/>
      <c r="G5" s="17"/>
      <c r="H5" s="18"/>
    </row>
    <row r="6" spans="2:8 16370:16370" ht="16.5" thickTop="1" thickBot="1" x14ac:dyDescent="0.3">
      <c r="B6" s="7" t="s">
        <v>0</v>
      </c>
      <c r="C6" s="8">
        <v>5265.98</v>
      </c>
      <c r="D6" s="8">
        <v>0</v>
      </c>
      <c r="E6" s="8">
        <v>0</v>
      </c>
      <c r="F6" s="8">
        <f>'Working Summary'!C13</f>
        <v>140287.77085470001</v>
      </c>
      <c r="G6" s="8">
        <f>'Working Summary'!C11</f>
        <v>175220</v>
      </c>
      <c r="H6" s="12">
        <f>'Working Summary'!C12</f>
        <v>206986.55</v>
      </c>
    </row>
    <row r="7" spans="2:8 16370:16370" ht="16.5" thickTop="1" thickBot="1" x14ac:dyDescent="0.3">
      <c r="B7" s="7"/>
      <c r="C7" s="8"/>
      <c r="D7" s="8"/>
      <c r="E7" s="8"/>
      <c r="F7" s="8"/>
      <c r="G7" s="8"/>
      <c r="H7" s="12"/>
    </row>
    <row r="8" spans="2:8 16370:16370" ht="16.5" thickTop="1" thickBot="1" x14ac:dyDescent="0.3">
      <c r="B8" s="9" t="s">
        <v>7</v>
      </c>
      <c r="C8" s="10">
        <f>C6+C7</f>
        <v>5265.98</v>
      </c>
      <c r="D8" s="10">
        <f>D6+D7</f>
        <v>0</v>
      </c>
      <c r="E8" s="10">
        <f>E6+E7</f>
        <v>0</v>
      </c>
      <c r="F8" s="10">
        <f>F6+F7</f>
        <v>140287.77085470001</v>
      </c>
      <c r="G8" s="10">
        <f>G6+G7</f>
        <v>175220</v>
      </c>
      <c r="H8" s="10">
        <f>H6+H7</f>
        <v>206986.55</v>
      </c>
      <c r="XEP8" s="2" t="e">
        <f>XEP6+#REF!</f>
        <v>#REF!</v>
      </c>
    </row>
    <row r="9" spans="2:8 16370:16370" ht="15.75" thickTop="1" x14ac:dyDescent="0.25"/>
    <row r="10" spans="2:8 16370:16370" ht="15.75" thickBot="1" x14ac:dyDescent="0.3"/>
    <row r="11" spans="2:8 16370:16370" ht="15.75" thickBot="1" x14ac:dyDescent="0.3">
      <c r="B11" s="65" t="s">
        <v>211</v>
      </c>
      <c r="C11" s="54">
        <f>G6*7500</f>
        <v>1314150000</v>
      </c>
    </row>
    <row r="12" spans="2:8 16370:16370" ht="15.75" thickBot="1" x14ac:dyDescent="0.3">
      <c r="B12" s="1"/>
    </row>
    <row r="13" spans="2:8 16370:16370" ht="15.75" thickBot="1" x14ac:dyDescent="0.3">
      <c r="B13" s="65" t="s">
        <v>212</v>
      </c>
      <c r="C13" s="54">
        <f>(H6*2000)+(20%*H6*2000)</f>
        <v>496767720</v>
      </c>
    </row>
    <row r="14" spans="2:8 16370:16370" ht="15.75" thickBot="1" x14ac:dyDescent="0.3">
      <c r="B14" s="1"/>
    </row>
    <row r="15" spans="2:8 16370:16370" ht="15.75" thickBot="1" x14ac:dyDescent="0.3">
      <c r="B15" s="65" t="s">
        <v>213</v>
      </c>
      <c r="C15" s="54">
        <f>C13*30%</f>
        <v>149030316</v>
      </c>
    </row>
    <row r="16" spans="2:8 16370:16370" ht="15.75" thickBot="1" x14ac:dyDescent="0.3">
      <c r="B16" s="1"/>
    </row>
    <row r="17" spans="2:3" ht="15.75" thickBot="1" x14ac:dyDescent="0.3">
      <c r="B17" s="65" t="s">
        <v>214</v>
      </c>
      <c r="C17" s="54">
        <f>C11*26%</f>
        <v>341679000</v>
      </c>
    </row>
    <row r="19" spans="2:3" x14ac:dyDescent="0.25">
      <c r="B19" s="44" t="s">
        <v>55</v>
      </c>
      <c r="C19" s="55">
        <f>C11-C13-C15-C17</f>
        <v>326672964</v>
      </c>
    </row>
  </sheetData>
  <mergeCells count="1">
    <mergeCell ref="B2:G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BB40A-FFA2-4AEF-AA42-3359BCD26B8E}">
  <sheetPr>
    <tabColor theme="5" tint="-0.249977111117893"/>
  </sheetPr>
  <dimension ref="B2:XFD18"/>
  <sheetViews>
    <sheetView workbookViewId="0">
      <selection activeCell="I11" sqref="I11"/>
    </sheetView>
  </sheetViews>
  <sheetFormatPr defaultRowHeight="15" x14ac:dyDescent="0.25"/>
  <cols>
    <col min="1" max="1" width="2" style="2" customWidth="1"/>
    <col min="2" max="2" width="11.7109375" style="2" customWidth="1"/>
    <col min="3" max="3" width="20.5703125" style="2" customWidth="1"/>
    <col min="4" max="4" width="33.7109375" style="2" customWidth="1"/>
    <col min="5" max="5" width="13.140625" style="2" customWidth="1"/>
    <col min="6" max="6" width="14.42578125" style="2" customWidth="1"/>
    <col min="7" max="7" width="20.5703125" style="2" customWidth="1"/>
    <col min="8" max="8" width="21" style="2" customWidth="1"/>
    <col min="9" max="10" width="16" style="2" bestFit="1" customWidth="1"/>
    <col min="11" max="16384" width="9.140625" style="2"/>
  </cols>
  <sheetData>
    <row r="2" spans="2:10 16384:16384" ht="23.25" x14ac:dyDescent="0.35">
      <c r="B2" s="135" t="s">
        <v>195</v>
      </c>
      <c r="C2" s="135"/>
      <c r="D2" s="135"/>
      <c r="E2" s="96"/>
      <c r="F2" s="96"/>
      <c r="G2" s="96"/>
      <c r="H2" s="96"/>
    </row>
    <row r="4" spans="2:10 16384:16384" x14ac:dyDescent="0.25">
      <c r="B4" s="97" t="s">
        <v>183</v>
      </c>
      <c r="C4" s="98" t="s">
        <v>208</v>
      </c>
    </row>
    <row r="5" spans="2:10 16384:16384" x14ac:dyDescent="0.25">
      <c r="B5" s="97" t="s">
        <v>184</v>
      </c>
      <c r="C5" s="98" t="s">
        <v>209</v>
      </c>
    </row>
    <row r="6" spans="2:10 16384:16384" x14ac:dyDescent="0.25">
      <c r="B6" s="97" t="s">
        <v>188</v>
      </c>
      <c r="C6" s="98" t="s">
        <v>210</v>
      </c>
    </row>
    <row r="8" spans="2:10 16384:16384" ht="15.75" customHeight="1" thickBot="1" x14ac:dyDescent="0.3">
      <c r="B8" s="137" t="s">
        <v>189</v>
      </c>
      <c r="C8" s="138"/>
      <c r="D8" s="138"/>
      <c r="E8" s="138"/>
      <c r="F8" s="138"/>
      <c r="G8" s="138"/>
      <c r="H8" s="138"/>
      <c r="I8" s="138"/>
      <c r="J8" s="138"/>
    </row>
    <row r="9" spans="2:10 16384:16384" ht="20.25" thickTop="1" thickBot="1" x14ac:dyDescent="0.3">
      <c r="B9" s="139" t="s">
        <v>199</v>
      </c>
      <c r="C9" s="140"/>
      <c r="D9" s="140"/>
      <c r="E9" s="140"/>
      <c r="F9" s="140"/>
      <c r="G9" s="140"/>
      <c r="H9" s="140"/>
      <c r="I9" s="140"/>
      <c r="J9" s="140"/>
    </row>
    <row r="10" spans="2:10 16384:16384" ht="61.5" thickTop="1" thickBot="1" x14ac:dyDescent="0.3">
      <c r="B10" s="99" t="s">
        <v>200</v>
      </c>
      <c r="C10" s="99" t="s">
        <v>201</v>
      </c>
      <c r="D10" s="99" t="s">
        <v>202</v>
      </c>
      <c r="E10" s="99" t="s">
        <v>203</v>
      </c>
      <c r="F10" s="99" t="s">
        <v>204</v>
      </c>
      <c r="G10" s="99" t="s">
        <v>205</v>
      </c>
      <c r="H10" s="99" t="s">
        <v>196</v>
      </c>
      <c r="I10" s="99" t="s">
        <v>198</v>
      </c>
      <c r="J10" s="99" t="s">
        <v>197</v>
      </c>
    </row>
    <row r="11" spans="2:10 16384:16384" ht="61.5" thickTop="1" thickBot="1" x14ac:dyDescent="0.3">
      <c r="B11" s="100">
        <v>1</v>
      </c>
      <c r="C11" s="106" t="s">
        <v>186</v>
      </c>
      <c r="D11" s="101" t="s">
        <v>187</v>
      </c>
      <c r="E11" s="111">
        <v>5265.98</v>
      </c>
      <c r="F11" s="113">
        <f>E11*0.015</f>
        <v>78.989699999999985</v>
      </c>
      <c r="G11" s="108">
        <v>3000000</v>
      </c>
      <c r="H11" s="108">
        <f>F11*G11</f>
        <v>236969099.99999994</v>
      </c>
      <c r="I11" s="108">
        <f>H11*(1-15%)</f>
        <v>201423734.99999994</v>
      </c>
      <c r="J11" s="108">
        <f>H11*(1-25%)</f>
        <v>177726824.99999994</v>
      </c>
    </row>
    <row r="12" spans="2:10 16384:16384" ht="16.5" thickTop="1" thickBot="1" x14ac:dyDescent="0.3">
      <c r="B12" s="136" t="s">
        <v>7</v>
      </c>
      <c r="C12" s="136"/>
      <c r="D12" s="136"/>
      <c r="E12" s="112">
        <f>E11</f>
        <v>5265.98</v>
      </c>
      <c r="F12" s="114">
        <f>F11</f>
        <v>78.989699999999985</v>
      </c>
      <c r="G12" s="107">
        <f>G11</f>
        <v>3000000</v>
      </c>
      <c r="H12" s="107">
        <f>H11</f>
        <v>236969099.99999994</v>
      </c>
      <c r="I12" s="107">
        <f>I11</f>
        <v>201423734.99999994</v>
      </c>
      <c r="J12" s="107">
        <f>J11</f>
        <v>177726824.99999994</v>
      </c>
      <c r="XFD12" s="107">
        <f>XFD11</f>
        <v>0</v>
      </c>
    </row>
    <row r="13" spans="2:10 16384:16384" ht="16.5" thickTop="1" thickBot="1" x14ac:dyDescent="0.3">
      <c r="B13" s="102"/>
      <c r="C13" s="102"/>
      <c r="D13" s="102"/>
      <c r="E13" s="103"/>
      <c r="F13" s="104"/>
      <c r="G13" s="105"/>
      <c r="H13" s="105"/>
    </row>
    <row r="14" spans="2:10 16384:16384" ht="16.5" thickTop="1" thickBot="1" x14ac:dyDescent="0.3">
      <c r="B14" s="141" t="s">
        <v>185</v>
      </c>
      <c r="C14" s="142"/>
      <c r="D14" s="142"/>
      <c r="E14" s="142"/>
      <c r="F14" s="142"/>
      <c r="G14" s="142"/>
      <c r="H14" s="142"/>
      <c r="I14" s="142"/>
      <c r="J14" s="143"/>
    </row>
    <row r="15" spans="2:10 16384:16384" ht="16.5" thickTop="1" thickBot="1" x14ac:dyDescent="0.3">
      <c r="B15" s="141" t="s">
        <v>206</v>
      </c>
      <c r="C15" s="142"/>
      <c r="D15" s="142"/>
      <c r="E15" s="142"/>
      <c r="F15" s="142"/>
      <c r="G15" s="142"/>
      <c r="H15" s="142"/>
      <c r="I15" s="142"/>
      <c r="J15" s="143"/>
    </row>
    <row r="16" spans="2:10 16384:16384" ht="16.5" thickTop="1" thickBot="1" x14ac:dyDescent="0.3">
      <c r="B16" s="141" t="s">
        <v>207</v>
      </c>
      <c r="C16" s="142"/>
      <c r="D16" s="142"/>
      <c r="E16" s="142"/>
      <c r="F16" s="142"/>
      <c r="G16" s="142"/>
      <c r="H16" s="142"/>
      <c r="I16" s="142"/>
      <c r="J16" s="143"/>
    </row>
    <row r="17" s="2" customFormat="1" x14ac:dyDescent="0.25"/>
    <row r="18" s="2" customFormat="1" x14ac:dyDescent="0.25"/>
  </sheetData>
  <mergeCells count="7">
    <mergeCell ref="B16:J16"/>
    <mergeCell ref="B15:J15"/>
    <mergeCell ref="B2:D2"/>
    <mergeCell ref="B12:D12"/>
    <mergeCell ref="B8:J8"/>
    <mergeCell ref="B9:J9"/>
    <mergeCell ref="B14:J1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C0E8A-8D76-482A-A369-3E082EEF81C8}">
  <sheetPr>
    <tabColor theme="5" tint="-0.249977111117893"/>
  </sheetPr>
  <dimension ref="G36"/>
  <sheetViews>
    <sheetView workbookViewId="0">
      <selection activeCell="G35" sqref="G35"/>
    </sheetView>
  </sheetViews>
  <sheetFormatPr defaultRowHeight="15" x14ac:dyDescent="0.25"/>
  <cols>
    <col min="1" max="6" width="9.140625" style="2"/>
    <col min="7" max="7" width="10" style="2" bestFit="1" customWidth="1"/>
    <col min="8" max="16384" width="9.140625" style="2"/>
  </cols>
  <sheetData>
    <row r="36" spans="7:7" x14ac:dyDescent="0.25">
      <c r="G36" s="2">
        <v>320758438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Working Summary</vt:lpstr>
      <vt:lpstr>Assumptions</vt:lpstr>
      <vt:lpstr>Inflow</vt:lpstr>
      <vt:lpstr>Outflow</vt:lpstr>
      <vt:lpstr>DCF Model</vt:lpstr>
      <vt:lpstr>Project Inventory</vt:lpstr>
      <vt:lpstr>Res. Method of Val. (WO NPV)</vt:lpstr>
      <vt:lpstr>Land Valuation (Market)</vt:lpstr>
      <vt:lpstr>Land Valuation (Guideline)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Tejas Bharadwaj</dc:creator>
  <cp:lastModifiedBy>Tejas Bharadwaj</cp:lastModifiedBy>
  <dcterms:created xsi:type="dcterms:W3CDTF">2022-09-28T15:03:47Z</dcterms:created>
  <dcterms:modified xsi:type="dcterms:W3CDTF">2022-11-17T11:49:29Z</dcterms:modified>
</cp:coreProperties>
</file>