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defaultThemeVersion="124226"/>
  <xr:revisionPtr revIDLastSave="0" documentId="13_ncr:1_{23F1EDE0-65BA-4061-B1E0-DE8022602B7C}" xr6:coauthVersionLast="47" xr6:coauthVersionMax="47" xr10:uidLastSave="{00000000-0000-0000-0000-000000000000}"/>
  <bookViews>
    <workbookView xWindow="-120" yWindow="-120" windowWidth="24240" windowHeight="13140" tabRatio="745" firstSheet="1" activeTab="9" xr2:uid="{00000000-000D-0000-FFFF-FFFF00000000}"/>
  </bookViews>
  <sheets>
    <sheet name="Phy, Prog. and exp. sheet" sheetId="11" state="hidden" r:id="rId1"/>
    <sheet name="Detailed Physical Progress IU" sheetId="12" r:id="rId2"/>
    <sheet name="Detailed Phy. progress GU" sheetId="13" state="hidden" r:id="rId3"/>
    <sheet name="IU COP" sheetId="5" state="hidden" r:id="rId4"/>
    <sheet name="IU Civil cost" sheetId="1" r:id="rId5"/>
    <sheet name="IU M&amp;E" sheetId="2" state="hidden" r:id="rId6"/>
    <sheet name="IU Power Distribution" sheetId="3" state="hidden" r:id="rId7"/>
    <sheet name="GU COP" sheetId="4" state="hidden" r:id="rId8"/>
    <sheet name="Detailed Phy. Prog. of GU" sheetId="20" r:id="rId9"/>
    <sheet name="GU Civil Cost" sheetId="6" r:id="rId10"/>
    <sheet name="June CA CERTIFICATE" sheetId="21" r:id="rId11"/>
    <sheet name="March CA certificate" sheetId="22" state="hidden" r:id="rId12"/>
    <sheet name="GU M&amp;E" sheetId="7" state="hidden" r:id="rId13"/>
    <sheet name="GU Power Distrbution" sheetId="8" state="hidden" r:id="rId14"/>
    <sheet name="Constractors and suppliers" sheetId="9" state="hidden" r:id="rId15"/>
    <sheet name="Cost of Project" sheetId="10" state="hidden" r:id="rId16"/>
  </sheets>
  <externalReferences>
    <externalReference r:id="rId17"/>
  </externalReferences>
  <definedNames>
    <definedName name="_xlnm._FilterDatabase" localSheetId="4" hidden="1">'IU Civil cost'!$B$5:$P$96</definedName>
    <definedName name="_xlnm.Print_Area" localSheetId="9">'GU Civil Cost'!$B$4:$S$42</definedName>
    <definedName name="_xlnm.Print_Area" localSheetId="12">'GU M&amp;E'!$B$5:$I$61</definedName>
    <definedName name="_xlnm.Print_Area" localSheetId="4">'IU Civil cost'!$B$5:$P$92</definedName>
    <definedName name="_xlnm.Print_Area" localSheetId="5">'IU M&amp;E'!$B$4:$I$70</definedName>
    <definedName name="_xlnm.Print_Area" localSheetId="0">'Phy, Prog. and exp. sheet'!$B$4:$H$11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74" i="2" l="1"/>
  <c r="E77" i="2" s="1"/>
  <c r="E78" i="2" s="1"/>
  <c r="E80" i="2" s="1"/>
  <c r="E81" i="2" s="1"/>
  <c r="V42" i="6"/>
  <c r="U42" i="6"/>
  <c r="U43" i="6" s="1"/>
  <c r="S88" i="1"/>
  <c r="R88" i="1"/>
  <c r="R89" i="1" s="1"/>
  <c r="T90" i="1" s="1"/>
  <c r="T8" i="1"/>
  <c r="U8" i="1"/>
  <c r="T9" i="1"/>
  <c r="U9" i="1"/>
  <c r="T10" i="1"/>
  <c r="U10" i="1"/>
  <c r="T11" i="1"/>
  <c r="U11" i="1"/>
  <c r="T12" i="1"/>
  <c r="U12" i="1"/>
  <c r="T13" i="1"/>
  <c r="U13" i="1"/>
  <c r="T14" i="1"/>
  <c r="U14" i="1"/>
  <c r="T15" i="1"/>
  <c r="U15" i="1"/>
  <c r="T16" i="1"/>
  <c r="U16" i="1"/>
  <c r="T17" i="1"/>
  <c r="U17" i="1"/>
  <c r="T18" i="1"/>
  <c r="U18" i="1"/>
  <c r="T19" i="1"/>
  <c r="U19" i="1"/>
  <c r="T20" i="1"/>
  <c r="U20" i="1"/>
  <c r="T21" i="1"/>
  <c r="U21" i="1"/>
  <c r="T22" i="1"/>
  <c r="U22" i="1"/>
  <c r="T23" i="1"/>
  <c r="U2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3" i="1"/>
  <c r="U43" i="1"/>
  <c r="T44" i="1"/>
  <c r="U44"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4" i="1"/>
  <c r="U64" i="1"/>
  <c r="T65" i="1"/>
  <c r="U65" i="1"/>
  <c r="T66" i="1"/>
  <c r="U66" i="1"/>
  <c r="T67" i="1"/>
  <c r="U67" i="1"/>
  <c r="T68" i="1"/>
  <c r="U68" i="1"/>
  <c r="T69" i="1"/>
  <c r="U69" i="1"/>
  <c r="T70" i="1"/>
  <c r="U70" i="1"/>
  <c r="T71" i="1"/>
  <c r="U71" i="1"/>
  <c r="T72" i="1"/>
  <c r="U72" i="1"/>
  <c r="T73" i="1"/>
  <c r="U73" i="1"/>
  <c r="T74" i="1"/>
  <c r="U74" i="1"/>
  <c r="T75" i="1"/>
  <c r="U75" i="1"/>
  <c r="T76" i="1"/>
  <c r="U76" i="1"/>
  <c r="T77" i="1"/>
  <c r="U77" i="1"/>
  <c r="T78" i="1"/>
  <c r="U78" i="1"/>
  <c r="T79" i="1"/>
  <c r="U79" i="1"/>
  <c r="T80" i="1"/>
  <c r="U80" i="1"/>
  <c r="T81" i="1"/>
  <c r="U81" i="1"/>
  <c r="T82" i="1"/>
  <c r="U82" i="1"/>
  <c r="T83" i="1"/>
  <c r="U83" i="1"/>
  <c r="T84" i="1"/>
  <c r="U84" i="1"/>
  <c r="T85" i="1"/>
  <c r="U85" i="1"/>
  <c r="U7" i="1"/>
  <c r="T7" i="1"/>
  <c r="W7" i="6"/>
  <c r="X7" i="6"/>
  <c r="W8" i="6"/>
  <c r="X8" i="6"/>
  <c r="W9" i="6"/>
  <c r="X9" i="6"/>
  <c r="W10" i="6"/>
  <c r="X10" i="6"/>
  <c r="W11" i="6"/>
  <c r="X11" i="6"/>
  <c r="W12" i="6"/>
  <c r="X12" i="6"/>
  <c r="W13" i="6"/>
  <c r="X13" i="6"/>
  <c r="W14" i="6"/>
  <c r="X14" i="6"/>
  <c r="W15" i="6"/>
  <c r="X15" i="6"/>
  <c r="W16" i="6"/>
  <c r="X16" i="6"/>
  <c r="W17" i="6"/>
  <c r="X17" i="6"/>
  <c r="W18" i="6"/>
  <c r="X18" i="6"/>
  <c r="W19" i="6"/>
  <c r="X19" i="6"/>
  <c r="W20" i="6"/>
  <c r="X20" i="6"/>
  <c r="W21" i="6"/>
  <c r="X21" i="6"/>
  <c r="W22" i="6"/>
  <c r="X22" i="6"/>
  <c r="W23" i="6"/>
  <c r="X23" i="6"/>
  <c r="W24" i="6"/>
  <c r="X24" i="6"/>
  <c r="W25" i="6"/>
  <c r="X25" i="6"/>
  <c r="W26" i="6"/>
  <c r="X26" i="6"/>
  <c r="W27" i="6"/>
  <c r="X27" i="6"/>
  <c r="W28" i="6"/>
  <c r="X28" i="6"/>
  <c r="W29" i="6"/>
  <c r="X29" i="6"/>
  <c r="W30" i="6"/>
  <c r="X30" i="6"/>
  <c r="W31" i="6"/>
  <c r="X31" i="6"/>
  <c r="W32" i="6"/>
  <c r="X32" i="6"/>
  <c r="W33" i="6"/>
  <c r="X33" i="6"/>
  <c r="W34" i="6"/>
  <c r="X34" i="6"/>
  <c r="W35" i="6"/>
  <c r="X35" i="6"/>
  <c r="W36" i="6"/>
  <c r="X36" i="6"/>
  <c r="W37" i="6"/>
  <c r="X37" i="6"/>
  <c r="W38" i="6"/>
  <c r="X38" i="6"/>
  <c r="W39" i="6"/>
  <c r="X39" i="6"/>
  <c r="W40" i="6"/>
  <c r="X40" i="6"/>
  <c r="W41" i="6"/>
  <c r="X41" i="6"/>
  <c r="X6" i="6"/>
  <c r="W6" i="6"/>
  <c r="W42" i="6" l="1"/>
  <c r="X42" i="6"/>
  <c r="W43" i="6" s="1"/>
  <c r="X44" i="6" s="1"/>
  <c r="X45" i="6" s="1"/>
  <c r="D21" i="12"/>
  <c r="T86" i="1" l="1"/>
  <c r="U86" i="1"/>
  <c r="T87" i="1"/>
  <c r="U87" i="1"/>
  <c r="U88" i="1" l="1"/>
  <c r="T88" i="1"/>
  <c r="W71" i="1"/>
  <c r="N11" i="21" l="1"/>
  <c r="N12" i="21"/>
  <c r="N13" i="21"/>
  <c r="N10" i="21"/>
  <c r="D13" i="21"/>
  <c r="L16" i="21"/>
  <c r="N16" i="21" s="1"/>
  <c r="M16" i="21"/>
  <c r="G15" i="22"/>
  <c r="F15" i="22"/>
  <c r="I9" i="22"/>
  <c r="H9" i="22"/>
  <c r="G9" i="22"/>
  <c r="J9" i="22" s="1"/>
  <c r="F9" i="22"/>
  <c r="K8" i="22"/>
  <c r="J8" i="22"/>
  <c r="I8" i="22"/>
  <c r="J7" i="22"/>
  <c r="I7" i="22"/>
  <c r="J6" i="22"/>
  <c r="I6" i="22"/>
  <c r="K6" i="22" s="1"/>
  <c r="J5" i="22"/>
  <c r="K5" i="22" s="1"/>
  <c r="I5" i="22"/>
  <c r="J4" i="22"/>
  <c r="I4" i="22"/>
  <c r="J3" i="22"/>
  <c r="K3" i="22" s="1"/>
  <c r="I3" i="22"/>
  <c r="K9" i="22" l="1"/>
  <c r="K4" i="22"/>
  <c r="K7" i="22"/>
  <c r="I14" i="21"/>
  <c r="I16" i="21" s="1"/>
  <c r="I12" i="21"/>
  <c r="D22" i="12" l="1"/>
  <c r="D23" i="12"/>
  <c r="Q36" i="6" l="1"/>
  <c r="P51" i="1"/>
  <c r="U90" i="1" l="1"/>
  <c r="I7" i="11"/>
  <c r="I6" i="11"/>
  <c r="F54" i="7" l="1"/>
  <c r="H33" i="7"/>
  <c r="H34" i="7"/>
  <c r="H35" i="7"/>
  <c r="H36" i="7"/>
  <c r="H32" i="7"/>
  <c r="H19" i="7"/>
  <c r="H20" i="7"/>
  <c r="H21" i="7"/>
  <c r="H22" i="7"/>
  <c r="H23" i="7"/>
  <c r="H24" i="7"/>
  <c r="H25" i="7"/>
  <c r="H26" i="7"/>
  <c r="H27" i="7"/>
  <c r="H28" i="7"/>
  <c r="H18" i="7"/>
  <c r="H9" i="7"/>
  <c r="H10" i="7"/>
  <c r="H11" i="7"/>
  <c r="H13" i="7"/>
  <c r="H14" i="7"/>
  <c r="H15" i="7"/>
  <c r="H8" i="7"/>
  <c r="I18" i="7"/>
  <c r="G8" i="11"/>
  <c r="H8" i="11"/>
  <c r="E8" i="11"/>
  <c r="D8" i="11"/>
  <c r="F7" i="11"/>
  <c r="F6" i="11"/>
  <c r="C7" i="11"/>
  <c r="C6" i="11"/>
  <c r="D67" i="2"/>
  <c r="F62" i="2"/>
  <c r="H44" i="2"/>
  <c r="H43" i="2"/>
  <c r="H42" i="2"/>
  <c r="H41" i="2"/>
  <c r="H40" i="2"/>
  <c r="H29" i="2"/>
  <c r="H27" i="2"/>
  <c r="I29" i="2"/>
  <c r="I27" i="2"/>
  <c r="H37" i="2"/>
  <c r="H36" i="2"/>
  <c r="H35" i="2"/>
  <c r="H34" i="2"/>
  <c r="H33" i="2"/>
  <c r="H32" i="2"/>
  <c r="H31" i="2"/>
  <c r="H30" i="2"/>
  <c r="H28" i="2"/>
  <c r="H8" i="2"/>
  <c r="H9" i="2"/>
  <c r="H11" i="2"/>
  <c r="H12" i="2"/>
  <c r="H13" i="2"/>
  <c r="H19" i="2"/>
  <c r="H20" i="2"/>
  <c r="H21" i="2"/>
  <c r="H22" i="2"/>
  <c r="H23" i="2"/>
  <c r="H24" i="2"/>
  <c r="H7" i="2"/>
  <c r="E37" i="6"/>
  <c r="E40" i="6" s="1"/>
  <c r="D37" i="6"/>
  <c r="D40" i="6" s="1"/>
  <c r="D41" i="6" s="1"/>
  <c r="P36" i="6"/>
  <c r="P29" i="6"/>
  <c r="J29" i="6"/>
  <c r="P17" i="6"/>
  <c r="J17" i="6"/>
  <c r="P9" i="6"/>
  <c r="J9" i="6"/>
  <c r="S35" i="6"/>
  <c r="R35" i="6"/>
  <c r="S34" i="6"/>
  <c r="R34" i="6"/>
  <c r="S33" i="6"/>
  <c r="R33" i="6"/>
  <c r="S32" i="6"/>
  <c r="R32" i="6"/>
  <c r="S31" i="6"/>
  <c r="R31" i="6"/>
  <c r="R7" i="6"/>
  <c r="S7" i="6"/>
  <c r="R8" i="6"/>
  <c r="S8" i="6"/>
  <c r="R11" i="6"/>
  <c r="S11" i="6"/>
  <c r="R12" i="6"/>
  <c r="S12" i="6"/>
  <c r="R13" i="6"/>
  <c r="S13" i="6"/>
  <c r="R14" i="6"/>
  <c r="S14" i="6"/>
  <c r="R15" i="6"/>
  <c r="S15" i="6"/>
  <c r="R16" i="6"/>
  <c r="S16" i="6"/>
  <c r="R19" i="6"/>
  <c r="S19" i="6"/>
  <c r="R20" i="6"/>
  <c r="S20" i="6"/>
  <c r="R21" i="6"/>
  <c r="S21" i="6"/>
  <c r="R22" i="6"/>
  <c r="S22" i="6"/>
  <c r="R23" i="6"/>
  <c r="S23" i="6"/>
  <c r="R24" i="6"/>
  <c r="S24" i="6"/>
  <c r="R25" i="6"/>
  <c r="S25" i="6"/>
  <c r="R26" i="6"/>
  <c r="S26" i="6"/>
  <c r="R27" i="6"/>
  <c r="S27" i="6"/>
  <c r="R28" i="6"/>
  <c r="S28" i="6"/>
  <c r="S6" i="6"/>
  <c r="R6" i="6"/>
  <c r="D88" i="1"/>
  <c r="D91" i="1" s="1"/>
  <c r="I88" i="1"/>
  <c r="I91" i="1" s="1"/>
  <c r="H86" i="1"/>
  <c r="P71" i="1"/>
  <c r="P72" i="1"/>
  <c r="P73" i="1"/>
  <c r="P74" i="1"/>
  <c r="P75" i="1"/>
  <c r="P76" i="1"/>
  <c r="P77" i="1"/>
  <c r="P78" i="1"/>
  <c r="P79" i="1"/>
  <c r="P80" i="1"/>
  <c r="P81" i="1"/>
  <c r="P82" i="1"/>
  <c r="P83" i="1"/>
  <c r="P84" i="1"/>
  <c r="P85" i="1"/>
  <c r="P70" i="1"/>
  <c r="P64" i="1"/>
  <c r="P65" i="1"/>
  <c r="P66" i="1"/>
  <c r="P63" i="1"/>
  <c r="P56" i="1"/>
  <c r="P57" i="1"/>
  <c r="P58" i="1"/>
  <c r="P59" i="1"/>
  <c r="P55" i="1"/>
  <c r="P54" i="1"/>
  <c r="P31" i="1"/>
  <c r="P9" i="1"/>
  <c r="P8" i="1"/>
  <c r="P10" i="1"/>
  <c r="P11" i="1"/>
  <c r="P12" i="1"/>
  <c r="P13" i="1"/>
  <c r="P14" i="1"/>
  <c r="P15" i="1"/>
  <c r="P16" i="1"/>
  <c r="P17" i="1"/>
  <c r="P18" i="1"/>
  <c r="P19" i="1"/>
  <c r="P20" i="1"/>
  <c r="P21" i="1"/>
  <c r="P22" i="1"/>
  <c r="P25" i="1"/>
  <c r="P26" i="1"/>
  <c r="P27" i="1"/>
  <c r="P28" i="1"/>
  <c r="P29" i="1"/>
  <c r="P30" i="1"/>
  <c r="P32" i="1"/>
  <c r="P33" i="1"/>
  <c r="P34" i="1"/>
  <c r="P35" i="1"/>
  <c r="P36" i="1"/>
  <c r="P37" i="1"/>
  <c r="P40" i="1"/>
  <c r="P41" i="1"/>
  <c r="P42" i="1"/>
  <c r="P43" i="1"/>
  <c r="P44" i="1"/>
  <c r="P45" i="1"/>
  <c r="P46" i="1"/>
  <c r="P47" i="1"/>
  <c r="P48" i="1"/>
  <c r="P49" i="1"/>
  <c r="P50" i="1"/>
  <c r="P67" i="1"/>
  <c r="P86" i="1"/>
  <c r="P7" i="1"/>
  <c r="C8" i="11" l="1"/>
  <c r="H37" i="7"/>
  <c r="H29" i="7"/>
  <c r="H38" i="2"/>
  <c r="H45" i="2"/>
  <c r="P38" i="1"/>
  <c r="D94" i="1"/>
  <c r="D95" i="1" s="1"/>
  <c r="H94" i="1" s="1"/>
  <c r="F8" i="11"/>
  <c r="C10" i="11" s="1"/>
  <c r="C11" i="11"/>
  <c r="R29" i="6"/>
  <c r="D92" i="1"/>
  <c r="P23" i="1"/>
  <c r="R36" i="6"/>
  <c r="S36" i="6"/>
  <c r="N86" i="1"/>
  <c r="N87" i="1" s="1"/>
  <c r="S29" i="6"/>
  <c r="S17" i="6"/>
  <c r="S9" i="6"/>
  <c r="R17" i="6"/>
  <c r="R9" i="6"/>
  <c r="P60" i="1"/>
  <c r="P52" i="1"/>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16" i="9"/>
  <c r="D5" i="9"/>
  <c r="D6" i="9"/>
  <c r="D7" i="9"/>
  <c r="D8" i="9"/>
  <c r="D9" i="9"/>
  <c r="D10" i="9"/>
  <c r="D11" i="9"/>
  <c r="D4" i="9"/>
  <c r="E81" i="9"/>
  <c r="E12" i="9"/>
  <c r="C46" i="8"/>
  <c r="C44" i="8"/>
  <c r="C43" i="8"/>
  <c r="C42" i="8"/>
  <c r="C39" i="8"/>
  <c r="C38" i="8"/>
  <c r="D26" i="8"/>
  <c r="D25" i="8"/>
  <c r="D24" i="8"/>
  <c r="D23" i="8"/>
  <c r="D22" i="8"/>
  <c r="D21" i="8"/>
  <c r="D20" i="8"/>
  <c r="D19" i="8"/>
  <c r="D18" i="8"/>
  <c r="D17" i="8"/>
  <c r="D16" i="8"/>
  <c r="D15" i="8"/>
  <c r="D14" i="8"/>
  <c r="D13" i="8"/>
  <c r="D12" i="8"/>
  <c r="D11" i="8"/>
  <c r="D10" i="8"/>
  <c r="D9" i="8"/>
  <c r="D8" i="8"/>
  <c r="D60" i="7"/>
  <c r="D59" i="7"/>
  <c r="D56" i="7"/>
  <c r="D55" i="7"/>
  <c r="D54" i="7"/>
  <c r="D53" i="7"/>
  <c r="D50" i="7"/>
  <c r="D49" i="7"/>
  <c r="D48" i="7"/>
  <c r="D45" i="7"/>
  <c r="D44" i="7"/>
  <c r="D43" i="7"/>
  <c r="D42" i="7"/>
  <c r="E36" i="7"/>
  <c r="I36" i="7" s="1"/>
  <c r="E35" i="7"/>
  <c r="I35" i="7" s="1"/>
  <c r="E34" i="7"/>
  <c r="I34" i="7" s="1"/>
  <c r="E33" i="7"/>
  <c r="I33" i="7" s="1"/>
  <c r="E32" i="7"/>
  <c r="I32" i="7" s="1"/>
  <c r="E28" i="7"/>
  <c r="I28" i="7" s="1"/>
  <c r="E27" i="7"/>
  <c r="I27" i="7" s="1"/>
  <c r="E26" i="7"/>
  <c r="I26" i="7" s="1"/>
  <c r="E25" i="7"/>
  <c r="I25" i="7" s="1"/>
  <c r="E24" i="7"/>
  <c r="I24" i="7" s="1"/>
  <c r="E23" i="7"/>
  <c r="I23" i="7" s="1"/>
  <c r="E22" i="7"/>
  <c r="I22" i="7" s="1"/>
  <c r="E21" i="7"/>
  <c r="I21" i="7" s="1"/>
  <c r="E20" i="7"/>
  <c r="I20" i="7" s="1"/>
  <c r="E19" i="7"/>
  <c r="I19" i="7" s="1"/>
  <c r="E18" i="7"/>
  <c r="G18" i="7" s="1"/>
  <c r="D12" i="7"/>
  <c r="E15" i="7"/>
  <c r="I15" i="7" s="1"/>
  <c r="E14" i="7"/>
  <c r="I14" i="7" s="1"/>
  <c r="E13" i="7"/>
  <c r="I13" i="7" s="1"/>
  <c r="E12" i="7"/>
  <c r="I12" i="7" s="1"/>
  <c r="E11" i="7"/>
  <c r="I11" i="7" s="1"/>
  <c r="E10" i="7"/>
  <c r="I10" i="7" s="1"/>
  <c r="E9" i="7"/>
  <c r="I9" i="7" s="1"/>
  <c r="E8" i="7"/>
  <c r="I8" i="7" s="1"/>
  <c r="C43" i="3"/>
  <c r="C42" i="3"/>
  <c r="D40" i="3"/>
  <c r="D39" i="3"/>
  <c r="D38" i="3"/>
  <c r="D36" i="3"/>
  <c r="D35" i="3"/>
  <c r="D31" i="3"/>
  <c r="D30" i="3"/>
  <c r="D29" i="3"/>
  <c r="D28" i="3"/>
  <c r="D27" i="3"/>
  <c r="D25" i="3"/>
  <c r="D24" i="3"/>
  <c r="D23" i="3"/>
  <c r="D22" i="3"/>
  <c r="D21" i="3"/>
  <c r="D20" i="3"/>
  <c r="D19" i="3"/>
  <c r="D18" i="3"/>
  <c r="D17" i="3"/>
  <c r="D16" i="3"/>
  <c r="D15" i="3"/>
  <c r="D14" i="3"/>
  <c r="D13" i="3"/>
  <c r="D12" i="3"/>
  <c r="D11" i="3"/>
  <c r="D10" i="3"/>
  <c r="D9" i="3"/>
  <c r="D8" i="3"/>
  <c r="D7" i="3"/>
  <c r="D6" i="3"/>
  <c r="E44" i="2"/>
  <c r="I44" i="2" s="1"/>
  <c r="E43" i="2"/>
  <c r="I43" i="2" s="1"/>
  <c r="E42" i="2"/>
  <c r="I42" i="2" s="1"/>
  <c r="E41" i="2"/>
  <c r="I41" i="2" s="1"/>
  <c r="E40" i="2"/>
  <c r="E36" i="2"/>
  <c r="I36" i="2" s="1"/>
  <c r="E35" i="2"/>
  <c r="I35" i="2" s="1"/>
  <c r="E34" i="2"/>
  <c r="I34" i="2" s="1"/>
  <c r="E33" i="2"/>
  <c r="I33" i="2" s="1"/>
  <c r="E32" i="2"/>
  <c r="I32" i="2" s="1"/>
  <c r="E31" i="2"/>
  <c r="I31" i="2" s="1"/>
  <c r="E30" i="2"/>
  <c r="I30" i="2" s="1"/>
  <c r="E29" i="2"/>
  <c r="G29" i="2" s="1"/>
  <c r="E28" i="2"/>
  <c r="I28" i="2" s="1"/>
  <c r="E27" i="2"/>
  <c r="E24" i="2"/>
  <c r="I24" i="2" s="1"/>
  <c r="E23" i="2"/>
  <c r="I23" i="2" s="1"/>
  <c r="E22" i="2"/>
  <c r="I22" i="2" s="1"/>
  <c r="E21" i="2"/>
  <c r="I21" i="2" s="1"/>
  <c r="E20" i="2"/>
  <c r="I20" i="2" s="1"/>
  <c r="E19" i="2"/>
  <c r="I19" i="2" s="1"/>
  <c r="E17" i="2"/>
  <c r="I17" i="2" s="1"/>
  <c r="E16" i="2"/>
  <c r="I16" i="2" s="1"/>
  <c r="E15" i="2"/>
  <c r="I15" i="2" s="1"/>
  <c r="E13" i="2"/>
  <c r="I13" i="2" s="1"/>
  <c r="E12" i="2"/>
  <c r="I12" i="2" s="1"/>
  <c r="E11" i="2"/>
  <c r="E9" i="2"/>
  <c r="I9" i="2" s="1"/>
  <c r="E8" i="2"/>
  <c r="I8" i="2" s="1"/>
  <c r="E7" i="2"/>
  <c r="I7" i="2" s="1"/>
  <c r="D68" i="2"/>
  <c r="D69" i="2" s="1"/>
  <c r="D64" i="2"/>
  <c r="D63" i="2"/>
  <c r="D62" i="2"/>
  <c r="D61" i="2"/>
  <c r="D58" i="2"/>
  <c r="D57" i="2"/>
  <c r="D56" i="2"/>
  <c r="D53" i="2"/>
  <c r="D52" i="2"/>
  <c r="D51" i="2"/>
  <c r="D50" i="2"/>
  <c r="D45" i="2"/>
  <c r="D17" i="2"/>
  <c r="H17" i="2" s="1"/>
  <c r="D16" i="2"/>
  <c r="H16" i="2" s="1"/>
  <c r="D15" i="2"/>
  <c r="D32" i="3" l="1"/>
  <c r="D34" i="3" s="1"/>
  <c r="D37" i="3" s="1"/>
  <c r="D41" i="3" s="1"/>
  <c r="I29" i="7"/>
  <c r="X43" i="6"/>
  <c r="T89" i="1"/>
  <c r="E45" i="2"/>
  <c r="I40" i="2"/>
  <c r="I45" i="2" s="1"/>
  <c r="I16" i="7"/>
  <c r="I37" i="7"/>
  <c r="D12" i="9"/>
  <c r="D51" i="7"/>
  <c r="D81" i="9"/>
  <c r="D98" i="1"/>
  <c r="R37" i="6"/>
  <c r="S37" i="6"/>
  <c r="D16" i="7"/>
  <c r="D30" i="7" s="1"/>
  <c r="D38" i="7" s="1"/>
  <c r="D41" i="7" s="1"/>
  <c r="D46" i="7" s="1"/>
  <c r="H12" i="7"/>
  <c r="H16" i="7" s="1"/>
  <c r="H30" i="7" s="1"/>
  <c r="H38" i="7" s="1"/>
  <c r="F41" i="7" s="1"/>
  <c r="D59" i="2"/>
  <c r="E25" i="2"/>
  <c r="I11" i="2"/>
  <c r="I25" i="2" s="1"/>
  <c r="D25" i="2"/>
  <c r="D38" i="2" s="1"/>
  <c r="H15" i="2"/>
  <c r="H25" i="2" s="1"/>
  <c r="H46" i="2" s="1"/>
  <c r="F49" i="2" s="1"/>
  <c r="E37" i="2"/>
  <c r="I37" i="2" s="1"/>
  <c r="I38" i="2" s="1"/>
  <c r="G27" i="2"/>
  <c r="P88" i="1"/>
  <c r="P89" i="1" s="1"/>
  <c r="P90" i="1" s="1"/>
  <c r="P91" i="1" s="1"/>
  <c r="D96" i="1"/>
  <c r="N88" i="1"/>
  <c r="E16" i="7"/>
  <c r="D27" i="8"/>
  <c r="C37" i="8" s="1"/>
  <c r="C40" i="8" s="1"/>
  <c r="C41" i="8" s="1"/>
  <c r="C45" i="8" s="1"/>
  <c r="C47" i="8" s="1"/>
  <c r="E29" i="7"/>
  <c r="E37" i="7"/>
  <c r="I30" i="7" l="1"/>
  <c r="I38" i="7" s="1"/>
  <c r="F48" i="7" s="1"/>
  <c r="F49" i="7" s="1"/>
  <c r="U89" i="1"/>
  <c r="U91" i="1"/>
  <c r="D52" i="7"/>
  <c r="D57" i="7" s="1"/>
  <c r="D58" i="7" s="1"/>
  <c r="S38" i="6"/>
  <c r="S39" i="6"/>
  <c r="R38" i="6"/>
  <c r="R39" i="6"/>
  <c r="F50" i="2"/>
  <c r="F51" i="2" s="1"/>
  <c r="F42" i="7"/>
  <c r="F43" i="7" s="1"/>
  <c r="E30" i="7"/>
  <c r="E38" i="7" s="1"/>
  <c r="I46" i="2"/>
  <c r="F63" i="2" s="1"/>
  <c r="F64" i="2" s="1"/>
  <c r="E38" i="2"/>
  <c r="E46" i="2" s="1"/>
  <c r="D46" i="2"/>
  <c r="D49" i="2" s="1"/>
  <c r="D54" i="2" s="1"/>
  <c r="D60" i="2" s="1"/>
  <c r="D65" i="2" s="1"/>
  <c r="D66" i="2" s="1"/>
  <c r="N89" i="1"/>
  <c r="N90" i="1" s="1"/>
  <c r="N91" i="1" s="1"/>
  <c r="N92" i="1" s="1"/>
  <c r="N93" i="1" s="1"/>
  <c r="R40" i="6" l="1"/>
  <c r="F52" i="2"/>
  <c r="F50" i="7"/>
  <c r="F51" i="7" s="1"/>
  <c r="S40" i="6"/>
  <c r="F56" i="2"/>
  <c r="F57" i="2" s="1"/>
  <c r="F45" i="7"/>
  <c r="F44" i="7"/>
  <c r="F53" i="2"/>
  <c r="F54" i="2" s="1"/>
  <c r="R41" i="6" l="1"/>
  <c r="R42" i="6" s="1"/>
  <c r="F46" i="7"/>
  <c r="F52" i="7" s="1"/>
  <c r="F55" i="7" s="1"/>
  <c r="F56" i="7" s="1"/>
  <c r="F58" i="2"/>
  <c r="F59" i="2" s="1"/>
  <c r="F60" i="2" s="1"/>
  <c r="F61" i="2" s="1"/>
  <c r="F65" i="2" s="1"/>
  <c r="F66" i="2" s="1"/>
  <c r="F67" i="2" s="1"/>
  <c r="F68" i="2" s="1"/>
  <c r="F69" i="2" s="1"/>
  <c r="E70" i="2" s="1"/>
  <c r="F53" i="7" l="1"/>
  <c r="F57" i="7" s="1"/>
  <c r="F58" i="7" s="1"/>
  <c r="F60" i="7" s="1"/>
  <c r="F61" i="7" l="1"/>
  <c r="E62" i="7"/>
  <c r="E63" i="7" s="1"/>
  <c r="E65" i="7" s="1"/>
</calcChain>
</file>

<file path=xl/sharedStrings.xml><?xml version="1.0" encoding="utf-8"?>
<sst xmlns="http://schemas.openxmlformats.org/spreadsheetml/2006/main" count="1373" uniqueCount="862">
  <si>
    <t>COST OF BUILDINGS AND OTHER CIVIL STRUCTURES - IU</t>
  </si>
  <si>
    <t>(In Lakh INR Unless Specified Otherwise)</t>
  </si>
  <si>
    <t>SN</t>
  </si>
  <si>
    <t>DESCRIPTION</t>
  </si>
  <si>
    <t xml:space="preserve">Main Factory Building </t>
  </si>
  <si>
    <t>Limestone crusher complex (including retaining wall, ramp, stone pitching, etc.)</t>
  </si>
  <si>
    <t>Correctives &amp; Additive crusher house (including short ramp, pitching, etc.)</t>
  </si>
  <si>
    <t>Raw mills complex</t>
  </si>
  <si>
    <t>Raw mill bag house &amp; stack support structure</t>
  </si>
  <si>
    <t>Preheater tower (Six stage, Double string)</t>
  </si>
  <si>
    <t>Rotary Kiln Piers, Walkways, TA duct support</t>
  </si>
  <si>
    <t>Clinker cooler house (including Dedusting structures &amp; Stack supporting structure)</t>
  </si>
  <si>
    <t>Coal Crusher House (incl. short retaining wall, ramp, stone pitching, etc.)</t>
  </si>
  <si>
    <t>Coal mill house</t>
  </si>
  <si>
    <t>HAG supporting structure</t>
  </si>
  <si>
    <t xml:space="preserve">Packing plant, truck &amp; bulk loading, bags godown </t>
  </si>
  <si>
    <t>SUB TOTAL (1.0)</t>
  </si>
  <si>
    <t>Silos, Hoppers, Storages, Covered Gantry, etc.</t>
  </si>
  <si>
    <t>Limestone preblending stockpile (linear, covered, with S/R foundations)</t>
  </si>
  <si>
    <t>Correctives storage (linear, covered, with S/R foundations)</t>
  </si>
  <si>
    <t>Solid fuel storage (linear, covered, with S/R foundations)</t>
  </si>
  <si>
    <t>Raw mill hoppers &amp; building</t>
  </si>
  <si>
    <t>Blending (Raw Meal) silo</t>
  </si>
  <si>
    <t>Clinker silo &amp; transport supporting structure</t>
  </si>
  <si>
    <t>Unburnt clinker silo</t>
  </si>
  <si>
    <t>Gypsum, pond ash and sweetener storage (linear, covered)</t>
  </si>
  <si>
    <t>Cement mill hoppers &amp; building</t>
  </si>
  <si>
    <t>Flyash silo</t>
  </si>
  <si>
    <t>Cement silos</t>
  </si>
  <si>
    <t>AFR Storage</t>
  </si>
  <si>
    <t>SUB TOTAL (2.0)</t>
  </si>
  <si>
    <t>Auxiliary Services</t>
  </si>
  <si>
    <t>Switch yard</t>
  </si>
  <si>
    <t xml:space="preserve">Main indoor substation </t>
  </si>
  <si>
    <t>CCR, including Lab, Technical Offices, etc.</t>
  </si>
  <si>
    <t>Load centres &amp; MCC rooms</t>
  </si>
  <si>
    <t>Electrical/ Mechanical Workshop &amp; Yard</t>
  </si>
  <si>
    <t>Compressor house &amp; rooms</t>
  </si>
  <si>
    <t>Belt conveyors, TTs, etc. (plant internal; partly with gallery &amp; partly locally covered)</t>
  </si>
  <si>
    <t>Water Storage (UG+OH)</t>
  </si>
  <si>
    <t>Weigh Bridges &amp; Weigh Rooms</t>
  </si>
  <si>
    <t xml:space="preserve">Overhead cable galleries </t>
  </si>
  <si>
    <t>Dump hoppers &amp; Truck tippler foundations</t>
  </si>
  <si>
    <t>Cable Tunnels, Trenches, etc.</t>
  </si>
  <si>
    <t>SUB TOTAL (3.0)</t>
  </si>
  <si>
    <t>Office/ Non factory buildings, etc</t>
  </si>
  <si>
    <t>Administrative &amp; Services building</t>
  </si>
  <si>
    <t>-</t>
  </si>
  <si>
    <t>Gate house, Time &amp; Security office</t>
  </si>
  <si>
    <t>Sales, Dispatch &amp; Logistics offices</t>
  </si>
  <si>
    <t>General store &amp; yard</t>
  </si>
  <si>
    <t>Canteens (Executive, Workers, Truckers, etc.)</t>
  </si>
  <si>
    <t>Shift units/ washrooms (in general/common areas)</t>
  </si>
  <si>
    <t>SUB TOTAL (4.0)</t>
  </si>
  <si>
    <t>Mines offices, buildings, services, etc.</t>
  </si>
  <si>
    <t>Mines offices &amp; basic workshop (Basic provisioning only)</t>
  </si>
  <si>
    <t>Mines load centre</t>
  </si>
  <si>
    <t>Magazine building</t>
  </si>
  <si>
    <t>SUB TOTAL (5.0)</t>
  </si>
  <si>
    <t>Landscaping and provision of green belt</t>
  </si>
  <si>
    <t>Residential Colony &amp; Social Amenities</t>
  </si>
  <si>
    <t>Unit Head's Villa - 1 no. of ~250 sqm</t>
  </si>
  <si>
    <t>TH/CH House - 02 nos of ~225 sqm</t>
  </si>
  <si>
    <t>Type A Quarters - 8 nos. of ~200 sqm each</t>
  </si>
  <si>
    <t>Type B Quarters - 16 nos. of ~150 sqm each (Multi Storey)</t>
  </si>
  <si>
    <t>Type C Quarters - 32 nos. of ~125 sqm each (Multi Storey)</t>
  </si>
  <si>
    <t>Type D Quarters - 40 nos. of ~100 sqm each (Multi Storey)</t>
  </si>
  <si>
    <t>Type E Quarters - 120 nos. of ~80 sqm each (Multi Storey)</t>
  </si>
  <si>
    <t xml:space="preserve">Bachelor Executives' Hostel - 1 no. </t>
  </si>
  <si>
    <t xml:space="preserve">Workers' Dormitories - 2 nos. </t>
  </si>
  <si>
    <t>Occupational Health Centre</t>
  </si>
  <si>
    <t>Temple complex</t>
  </si>
  <si>
    <t>Community hall, playground, shops, etc.</t>
  </si>
  <si>
    <t>Guest house</t>
  </si>
  <si>
    <t>Club, gymnasium, recreation, etc</t>
  </si>
  <si>
    <t>School building &amp; allied facilities</t>
  </si>
  <si>
    <t>Other services (STP, WTP, roads, drains, water supply, green areas, etc.)</t>
  </si>
  <si>
    <t>SUB TOTAL (7.0)</t>
  </si>
  <si>
    <t>Indicative GST component on Civil works (average approx.18% of total civil cost considered for TEFR formulation purpose)</t>
  </si>
  <si>
    <t>Total Civil Works Cost (7.0+8.0+9.0)</t>
  </si>
  <si>
    <t>Deep foundations cost-provisioning (Indicative 10% lumpsum provisioning considered as Geotechnical investigations at proposed plant site are at preliminary level only)</t>
  </si>
  <si>
    <t>COST OF MECHANICAL AND ELECTRICAL EQUIPMENT - IU</t>
  </si>
  <si>
    <t>F.O.B.</t>
  </si>
  <si>
    <t>F.O.R.</t>
  </si>
  <si>
    <t>1.0</t>
  </si>
  <si>
    <t>Mechanical Equipment</t>
  </si>
  <si>
    <t>1.1</t>
  </si>
  <si>
    <t>Crushers</t>
  </si>
  <si>
    <t>1.1.1</t>
  </si>
  <si>
    <t>Limestone crushing and wobbler</t>
  </si>
  <si>
    <t>1.1.2</t>
  </si>
  <si>
    <t>Coal Crushing</t>
  </si>
  <si>
    <t>1.1.3</t>
  </si>
  <si>
    <t>Additve/ Corrective Crusher</t>
  </si>
  <si>
    <t>1.2</t>
  </si>
  <si>
    <t>Stockpiles stackers &amp; Reclaimers including the following:</t>
  </si>
  <si>
    <t>1.2.1</t>
  </si>
  <si>
    <t>Limestone  Storage, Stacker &amp; Reclaimer including shed</t>
  </si>
  <si>
    <t>1.2.2</t>
  </si>
  <si>
    <t>Corrective Storage Stacker &amp; Reclaimer including shed</t>
  </si>
  <si>
    <t>1.2.3</t>
  </si>
  <si>
    <t>Coal storage stacker and reclaimer including shed</t>
  </si>
  <si>
    <t>1.3</t>
  </si>
  <si>
    <t>Material Grinding and Pyroprocessing including the following:</t>
  </si>
  <si>
    <t>1.3.1</t>
  </si>
  <si>
    <t>Raw Material and Coal Drying and Grinding including Baghouse</t>
  </si>
  <si>
    <t>1.3.2</t>
  </si>
  <si>
    <t>Blending Silo feed B/Ele, Silo, kiln feed, Clinkerisation (upto clinker silo extraction), Fine coal firing from silo extraction including ESP</t>
  </si>
  <si>
    <t>1.3.3</t>
  </si>
  <si>
    <t>Clinker transport to mill through DPC, Clinker drying &amp; grinding (Upto cement silo feed B/E) including Baghouse</t>
  </si>
  <si>
    <t>1.4</t>
  </si>
  <si>
    <t>Cement Silo's and packing plant</t>
  </si>
  <si>
    <t>1.4.1</t>
  </si>
  <si>
    <t>Clinker extraction system</t>
  </si>
  <si>
    <t>1.4.2</t>
  </si>
  <si>
    <t>Cement extraction from cement silo upto rotary packers including steel cement silo</t>
  </si>
  <si>
    <t>1.4.3</t>
  </si>
  <si>
    <t>Packing, truck loaders and bulk loading.</t>
  </si>
  <si>
    <t>1.4.4</t>
  </si>
  <si>
    <t>Clinker loading to trucks</t>
  </si>
  <si>
    <t>1.4.5</t>
  </si>
  <si>
    <t>AFR system with Shed</t>
  </si>
  <si>
    <t>1.4.6</t>
  </si>
  <si>
    <t>Flyash Silo</t>
  </si>
  <si>
    <t>Sub-total of Main Machinery (1.0)</t>
  </si>
  <si>
    <t>2.0</t>
  </si>
  <si>
    <t>MECHANICAL AUXILIARY EQUIPMENT(S)</t>
  </si>
  <si>
    <t>2.1</t>
  </si>
  <si>
    <t>Steel for Duct/ Chute/hoppers/chimneys 8,000 t @ Rs 46200/ t</t>
  </si>
  <si>
    <t>2.2</t>
  </si>
  <si>
    <t>Plant belt conveyors including belting 3,500 m @ Rs 45,000/ m</t>
  </si>
  <si>
    <t>2.3</t>
  </si>
  <si>
    <t>2.5</t>
  </si>
  <si>
    <t>Refractory &amp; Castable 8,000 t @ Rs 35,000/ t</t>
  </si>
  <si>
    <t>2.6</t>
  </si>
  <si>
    <t>Insulation 70,000 m2 @ Rs 1130/ sq. m</t>
  </si>
  <si>
    <t>2.7</t>
  </si>
  <si>
    <t>Lubricants</t>
  </si>
  <si>
    <t>2.8</t>
  </si>
  <si>
    <t>Passenger Lifts (4 nos)</t>
  </si>
  <si>
    <t>2.9</t>
  </si>
  <si>
    <t>2.10</t>
  </si>
  <si>
    <t>Compressors &amp; Driers inclusind piping</t>
  </si>
  <si>
    <t>2.11</t>
  </si>
  <si>
    <t>Misc. items like Water Tank, Water Pump, Water Piping, Compressed Air Piping, etc.</t>
  </si>
  <si>
    <t>2.12</t>
  </si>
  <si>
    <t>BRU &amp; Truck Tippler (4 nos.)</t>
  </si>
  <si>
    <t>Cranes/Hoists and other miscl items including HAG, N2 system etc.</t>
  </si>
  <si>
    <t>Sub-total of Mechanical Auxiliary Equipment (2.0)</t>
  </si>
  <si>
    <t>Total of Mechanical Equipment (1.0 + 2.0)</t>
  </si>
  <si>
    <t>3.0</t>
  </si>
  <si>
    <t>Electrical and Instrumentation</t>
  </si>
  <si>
    <t>3.1</t>
  </si>
  <si>
    <t>HT Motors</t>
  </si>
  <si>
    <t>3.2</t>
  </si>
  <si>
    <t>LV &amp; MV AC variable Speed Drives</t>
  </si>
  <si>
    <t>3.3</t>
  </si>
  <si>
    <t xml:space="preserve">LT Motors </t>
  </si>
  <si>
    <t>Cross Belt Analyser, XRF, XRD, etc</t>
  </si>
  <si>
    <t>Control &amp; Automation and Field Instruments &amp; Robo Lab</t>
  </si>
  <si>
    <t>Total Electrical and Instrumentation (3.0)</t>
  </si>
  <si>
    <t>Total Mechanical and Electrical equipment (1.0+2.0+3.0)</t>
  </si>
  <si>
    <t>4.0</t>
  </si>
  <si>
    <t>Landed cost of equipment</t>
  </si>
  <si>
    <t>4.1</t>
  </si>
  <si>
    <t>Imported equipment</t>
  </si>
  <si>
    <t>4.1.1</t>
  </si>
  <si>
    <t>4.1.2</t>
  </si>
  <si>
    <t>Ocean Freight, Insurance, etc. @ 6 % of (4.1.1)</t>
  </si>
  <si>
    <t>4.1.3</t>
  </si>
  <si>
    <t>Basic import duty @ 7.5 % of (4.1.1 + 4.1.2)</t>
  </si>
  <si>
    <t>4.1.4</t>
  </si>
  <si>
    <t>IGST @ 18 % of (4.1.1 to 4.1.3)</t>
  </si>
  <si>
    <t>4.1.5</t>
  </si>
  <si>
    <t>Clearing/ Loading/ Inland freight, etc. @  5 % of (4.1.1 + 4.1.2)</t>
  </si>
  <si>
    <t xml:space="preserve"> </t>
  </si>
  <si>
    <t>Sub-total of imported equipment (4.1)</t>
  </si>
  <si>
    <t>4.2</t>
  </si>
  <si>
    <t>Indigenous Equipment</t>
  </si>
  <si>
    <t>4.2.1</t>
  </si>
  <si>
    <t>F.O.R cost</t>
  </si>
  <si>
    <t>4.2.2</t>
  </si>
  <si>
    <t>GST @ 18 % on F.O.R.</t>
  </si>
  <si>
    <t>4.2.3</t>
  </si>
  <si>
    <t>Freight, handling, insurance, etc. @ 5 % of  4.2.1</t>
  </si>
  <si>
    <t>Sub-total of indigenous equipment (4.2)</t>
  </si>
  <si>
    <t>Total landed cost of equipment (4.1 + 4.2)</t>
  </si>
  <si>
    <t>5.0</t>
  </si>
  <si>
    <t>Spare parts @ 5 % of F.O.B. + F.O.R.</t>
  </si>
  <si>
    <t>6.0</t>
  </si>
  <si>
    <t>Fabrication of Duct/ Chute/hoppers/chimneys 8,000 t @ Rs 20,000/ t</t>
  </si>
  <si>
    <t>7.0</t>
  </si>
  <si>
    <t>Erection, commissioning &amp; supervision charges @ 12 % of (F.O.R. + F.O.B)</t>
  </si>
  <si>
    <t>8.0</t>
  </si>
  <si>
    <t>GST @18% on (6.0+7.0)</t>
  </si>
  <si>
    <t>Total cost of Mechanical and Electrical equipment</t>
  </si>
  <si>
    <t>A</t>
  </si>
  <si>
    <t>TOTAL COST OF EQUIPMENT (4.1+ 4.2+5.0+6.0+7.0+8.0)</t>
  </si>
  <si>
    <t>B</t>
  </si>
  <si>
    <t>IGST+GST</t>
  </si>
  <si>
    <t>C</t>
  </si>
  <si>
    <t>TOTAL LANDED COST OF EQUIPMENT (NET of IGST+GST)</t>
  </si>
  <si>
    <t>Annexure 8.5</t>
  </si>
  <si>
    <t>COST OF POWER DISTRIBUTION EQUIPMENT - IU</t>
  </si>
  <si>
    <t>Power distribution equipment</t>
  </si>
  <si>
    <t xml:space="preserve">132 kV Transmission line ~45 Km </t>
  </si>
  <si>
    <t>132 kV yard at sub-station</t>
  </si>
  <si>
    <t>Development charges/Security deposit</t>
  </si>
  <si>
    <t>Supervison charges SEB (10% of line cost)</t>
  </si>
  <si>
    <t>1.5</t>
  </si>
  <si>
    <t>Incomer switchyard and power transformer</t>
  </si>
  <si>
    <t>1.6</t>
  </si>
  <si>
    <t>11 KV Switch board with Capacitor Bank</t>
  </si>
  <si>
    <t>1.7</t>
  </si>
  <si>
    <t>11/0.433 kV , Distribution transformer with bus duct</t>
  </si>
  <si>
    <t>1.8</t>
  </si>
  <si>
    <t>LT switchboards and bus trunkings</t>
  </si>
  <si>
    <t>1.9</t>
  </si>
  <si>
    <t xml:space="preserve">MCC &amp; Push button Station </t>
  </si>
  <si>
    <t>1.10</t>
  </si>
  <si>
    <t xml:space="preserve">LV Capacitor </t>
  </si>
  <si>
    <t>Capacitor and Reactor for 11 KV  HT motors</t>
  </si>
  <si>
    <t>1.12</t>
  </si>
  <si>
    <t>LRS/GRR/GRS</t>
  </si>
  <si>
    <t>1.13</t>
  </si>
  <si>
    <t>Earthing, cable trays &amp; erection hardware</t>
  </si>
  <si>
    <t>1.14</t>
  </si>
  <si>
    <t>Cables - Power, Control &amp; Instrumentation</t>
  </si>
  <si>
    <t>1.15</t>
  </si>
  <si>
    <t>Plant Illumination with LDB</t>
  </si>
  <si>
    <t>1.16</t>
  </si>
  <si>
    <t>Battery and Battery Charger with LRS</t>
  </si>
  <si>
    <t>1.17</t>
  </si>
  <si>
    <t xml:space="preserve">Ventilation System for Electrical Building </t>
  </si>
  <si>
    <t>1.18</t>
  </si>
  <si>
    <t>Air Conditioning</t>
  </si>
  <si>
    <t>Fire Detection System</t>
  </si>
  <si>
    <t>PA system  for intercom and Telephone exchange</t>
  </si>
  <si>
    <t xml:space="preserve">Mine Power Distribution </t>
  </si>
  <si>
    <t>DG Sets for Construction (2 MW)</t>
  </si>
  <si>
    <t>Construction Power</t>
  </si>
  <si>
    <t>1.24</t>
  </si>
  <si>
    <t>EMS/Synchronisation/load shedding</t>
  </si>
  <si>
    <t>1.25</t>
  </si>
  <si>
    <t>Non-plant buildings electrification</t>
  </si>
  <si>
    <t>1.26</t>
  </si>
  <si>
    <t>Misc. Electricals</t>
  </si>
  <si>
    <t>Sub total</t>
  </si>
  <si>
    <t>Total landed cost of equipment</t>
  </si>
  <si>
    <t>Spare parts @ 5 % of FOR cost</t>
  </si>
  <si>
    <t>Erection, commissioning &amp; supervision charges @ 12% of F.O.R.</t>
  </si>
  <si>
    <t>GST @ 18% of 4.0</t>
  </si>
  <si>
    <t>Total cost of power distribution equipment</t>
  </si>
  <si>
    <t>GST</t>
  </si>
  <si>
    <t>TOTAL COST OF POWER DISTRIBUTION EQUIPMENT NET OF GST</t>
  </si>
  <si>
    <t xml:space="preserve">  INVESTMENT COST ESTIMATES - IU</t>
  </si>
  <si>
    <t>TOTAL COST</t>
  </si>
  <si>
    <t>Land and site development</t>
  </si>
  <si>
    <t>Land cost for plant (Govt land)</t>
  </si>
  <si>
    <t>Land cost for plant (Private land)</t>
  </si>
  <si>
    <t>Land cost for mining area (Govt land)</t>
  </si>
  <si>
    <t>Land cost for mining area (Private land)</t>
  </si>
  <si>
    <t>Mines development expenses</t>
  </si>
  <si>
    <t>Geo-technical, hydrological investigation &amp; Topographic survey</t>
  </si>
  <si>
    <t>Lumpsum</t>
  </si>
  <si>
    <t xml:space="preserve">Boundary wall </t>
  </si>
  <si>
    <t>Gates, security pickets, etc.</t>
  </si>
  <si>
    <t xml:space="preserve">Approach road </t>
  </si>
  <si>
    <t>1.11</t>
  </si>
  <si>
    <t>Plant internal roads</t>
  </si>
  <si>
    <t>Truck parking, logistics offices &amp; other semi-paved areas</t>
  </si>
  <si>
    <t>Plant drainage</t>
  </si>
  <si>
    <t xml:space="preserve">Sub-total </t>
  </si>
  <si>
    <t>Buildings and other civil structures</t>
  </si>
  <si>
    <t>Main factory buildings</t>
  </si>
  <si>
    <t>Silos, hoppers, storages, covered gantry, etc.</t>
  </si>
  <si>
    <t>Auxiliary services</t>
  </si>
  <si>
    <t>Office/ Non-factory buildings &amp; Mines Buildingd</t>
  </si>
  <si>
    <t>Residential colony</t>
  </si>
  <si>
    <t>Equipment foundations cost</t>
  </si>
  <si>
    <t>Deep foundations cost provisioning on account of possibility of weaker soil bearing capacity (based on preliminary findings of soil investigations)</t>
  </si>
  <si>
    <t>Indicative GST componment on civil works</t>
  </si>
  <si>
    <t>Plant and Machinery</t>
  </si>
  <si>
    <t>Equipment for Distribution of Power</t>
  </si>
  <si>
    <t>Waste Heat Recovery System (WHRS) based Power Plant</t>
  </si>
  <si>
    <t>3.4</t>
  </si>
  <si>
    <t>Mining machinery</t>
  </si>
  <si>
    <t>Sub-total</t>
  </si>
  <si>
    <t>Engineering &amp; Know How (Various Consultants)</t>
  </si>
  <si>
    <t>Expenses on foreign technicians and training abroad of local technicians</t>
  </si>
  <si>
    <t>Miscellaneous Fixed Assets (MFA)</t>
  </si>
  <si>
    <t>5.1</t>
  </si>
  <si>
    <t>Furniture</t>
  </si>
  <si>
    <t>5.2</t>
  </si>
  <si>
    <t>Office Machinery and Equipment including RFID &amp; IT</t>
  </si>
  <si>
    <t>5.3</t>
  </si>
  <si>
    <t>Miscellaneous Tools and Tackles</t>
  </si>
  <si>
    <t>5.4</t>
  </si>
  <si>
    <t>Vehicles and vehicle expenses</t>
  </si>
  <si>
    <t>5.6</t>
  </si>
  <si>
    <t xml:space="preserve">Captive Power Plant </t>
  </si>
  <si>
    <t>5.8</t>
  </si>
  <si>
    <t>Railway Siding</t>
  </si>
  <si>
    <t>5.9</t>
  </si>
  <si>
    <t xml:space="preserve">Equipment for Water Supply &amp; Water intake </t>
  </si>
  <si>
    <t>5.10</t>
  </si>
  <si>
    <t>Sewage collection, transport to Sewage treatment  Plant</t>
  </si>
  <si>
    <t>5.11</t>
  </si>
  <si>
    <t>Laboratory Equipment</t>
  </si>
  <si>
    <t>5.12</t>
  </si>
  <si>
    <t>Workshop Equipment</t>
  </si>
  <si>
    <t>5.13</t>
  </si>
  <si>
    <t>Fire Fighting Equipment &amp; Fire Hydrant System</t>
  </si>
  <si>
    <t>5.14</t>
  </si>
  <si>
    <t xml:space="preserve">Road Weigh Bridges  </t>
  </si>
  <si>
    <t>Office Computers, RFID &amp; IT</t>
  </si>
  <si>
    <t>5.16</t>
  </si>
  <si>
    <t>Front End Loaders (2 Nos)</t>
  </si>
  <si>
    <t>Total</t>
  </si>
  <si>
    <t>Site preparation, leveling and grading</t>
  </si>
  <si>
    <t>Total cost estimated</t>
  </si>
  <si>
    <t>Annexure 8.7</t>
  </si>
  <si>
    <t xml:space="preserve">  INVESTMENT COST ESTIMATES - GU</t>
  </si>
  <si>
    <t>Sn</t>
  </si>
  <si>
    <t>Description</t>
  </si>
  <si>
    <t>Total Cost</t>
  </si>
  <si>
    <t>Remarks</t>
  </si>
  <si>
    <t>Land and Site Development</t>
  </si>
  <si>
    <t>Capital Cost of procured land for setting up the plant</t>
  </si>
  <si>
    <t>Site preparation &amp; development</t>
  </si>
  <si>
    <t>Refer Annexure 8.8</t>
  </si>
  <si>
    <t>Site enabling investigations (Topographical, Geotechnical &amp; Hydrological)</t>
  </si>
  <si>
    <t>Boundary Wall</t>
  </si>
  <si>
    <t>Gates, Security Pickets, etc.</t>
  </si>
  <si>
    <t>Approach Road to Plant</t>
  </si>
  <si>
    <t>Plant Internal Roads</t>
  </si>
  <si>
    <t>Truck Parking &amp; Logistics Office</t>
  </si>
  <si>
    <t>Plant Drainage</t>
  </si>
  <si>
    <t>Landscaping and Provision of Green Belt</t>
  </si>
  <si>
    <t>Sub-total (1.0)</t>
  </si>
  <si>
    <t>Main Factory Buildings</t>
  </si>
  <si>
    <t>Office/ Non-factory buildings</t>
  </si>
  <si>
    <t>Residential colony &amp; social amenities</t>
  </si>
  <si>
    <t>Deep foundations cost provisioning on account of possibility of weaker soil bearing capacity (Soil investigations yet to take place)</t>
  </si>
  <si>
    <t>Sub-total (2.0)</t>
  </si>
  <si>
    <t>Plant &amp; Machinery related</t>
  </si>
  <si>
    <t>Total Cost of Mechanical and Electrical Equipment (Net of GST)</t>
  </si>
  <si>
    <t>Refer Annexure 8.9</t>
  </si>
  <si>
    <t>GST component on Plant &amp; Machinery (approx. provisioning)</t>
  </si>
  <si>
    <t>Equipment for Distribution of Power (Net of GST)</t>
  </si>
  <si>
    <t>Refer Annexure 8.10</t>
  </si>
  <si>
    <t>GST component on Power distribution (approx. provisioning)</t>
  </si>
  <si>
    <t>3.5</t>
  </si>
  <si>
    <t>Equip. Foundations' (Machine Fnds.) civil cost component</t>
  </si>
  <si>
    <t>3.6</t>
  </si>
  <si>
    <t>Secondary Equipment:</t>
  </si>
  <si>
    <t>3.4.1</t>
  </si>
  <si>
    <t>Laboratory equipment &amp; setup</t>
  </si>
  <si>
    <t>3.4.2</t>
  </si>
  <si>
    <t>Fire-fighting equipment &amp; hydrant system</t>
  </si>
  <si>
    <t>3.4.3</t>
  </si>
  <si>
    <t>Water treatment system</t>
  </si>
  <si>
    <t>3.4.4</t>
  </si>
  <si>
    <t>Multi-utility equipment (front-end loader, fork lifts, truck-mounted lifting crane)</t>
  </si>
  <si>
    <t>3.4.5</t>
  </si>
  <si>
    <t>Weighbridges</t>
  </si>
  <si>
    <t>Sub-total (3.0)</t>
  </si>
  <si>
    <t>Expenses on technical know-how &amp; training</t>
  </si>
  <si>
    <t>Engineering &amp; know-how (various consultants &amp; agencies)</t>
  </si>
  <si>
    <t>Training &amp; skill upgradation related expenses (technicians &amp; others)</t>
  </si>
  <si>
    <t>Sub-total (4.0)</t>
  </si>
  <si>
    <t>Office furniture, machinery &amp; equipment</t>
  </si>
  <si>
    <t>Office gadgetary (computers, printers, LAN peripherals, etc.)</t>
  </si>
  <si>
    <t>Generic tools &amp; tackles</t>
  </si>
  <si>
    <t>Light motor vehicles for office use</t>
  </si>
  <si>
    <t>5.5</t>
  </si>
  <si>
    <t>Railway track/ siding</t>
  </si>
  <si>
    <t>Sub-total (5.0)</t>
  </si>
  <si>
    <t>9.0</t>
  </si>
  <si>
    <t>Loan on Working Capital</t>
  </si>
  <si>
    <t>Estimated Total Project Cost (1.0+2.0+3.0+4.0+5.0)</t>
  </si>
  <si>
    <t>( In Lakhs INR Unless Specified Otherwise )</t>
  </si>
  <si>
    <t>COST OF CIVIL STRUCTURES AND FOUNDATIONS - GU</t>
  </si>
  <si>
    <t>Building Cost</t>
  </si>
  <si>
    <t>Equip. Fnd. Cost (Machine Fnds.)</t>
  </si>
  <si>
    <t>Cement mill house &amp; dedusting building</t>
  </si>
  <si>
    <t xml:space="preserve">Packing plant, truck loading, bags godown </t>
  </si>
  <si>
    <t>Foundation network for linear &amp; covered storage sheds for Gypsum, Pond ash &amp; Coal</t>
  </si>
  <si>
    <t>Clinker silo &amp; transport supporting infrastructure</t>
  </si>
  <si>
    <t>Support structure for cement mill hoppers (hoppers excluded)</t>
  </si>
  <si>
    <t>Dry Flyash silo</t>
  </si>
  <si>
    <t>Cement silos (2nos. RCC silos)</t>
  </si>
  <si>
    <t>Cement silo (1no. Steel silo)</t>
  </si>
  <si>
    <t>Switchyard &amp; Main receiving substation</t>
  </si>
  <si>
    <t>CCR, Technical office, Laboratory, etc.</t>
  </si>
  <si>
    <t>MCC rooms &amp; Load centres</t>
  </si>
  <si>
    <t>Compressor house</t>
  </si>
  <si>
    <t>Foundations &amp; pedestals for belt conveyor galleries &amp; transfer towers</t>
  </si>
  <si>
    <t>Water storage (UG+OH) &amp; Water treatment plant</t>
  </si>
  <si>
    <t>Weigh bridges &amp; weigh rooms</t>
  </si>
  <si>
    <t>BRU &amp; truck tippler foundations with common ramp for receiving clinker &amp; gypsum</t>
  </si>
  <si>
    <t>Foundations &amp; pedestals for Overhead cable galleries</t>
  </si>
  <si>
    <t>Cable tunnels &amp; trenches, etc.</t>
  </si>
  <si>
    <t>Office/ Non factory Buildings, etc</t>
  </si>
  <si>
    <t>Administation &amp; services office block</t>
  </si>
  <si>
    <t>Time, security &amp; dispatch offices block</t>
  </si>
  <si>
    <t>Executives' &amp; workers' canteens</t>
  </si>
  <si>
    <t>Total (1.0+2.0+3.0+4.0+5.0+6.0)</t>
  </si>
  <si>
    <t>Deep foundations cost-provisioning (Indicative 5% lumpsum provisioning considered;  Geotechnical investigations at proposed plant site not carried out yet)</t>
  </si>
  <si>
    <t>COST OF MECHANICAL AND ELECTRICAL EQUIPMENT - GU</t>
  </si>
  <si>
    <t>Sn.</t>
  </si>
  <si>
    <t>Gypsum &amp; Pond ash handling, storage and transport to mill feed hoppers</t>
  </si>
  <si>
    <t>Dry Flyash handling, transport, storage &amp; feeding to mill</t>
  </si>
  <si>
    <t>Coal handling, storage, feeding and transport (including HAG system)</t>
  </si>
  <si>
    <t>Clinker transport, handling, storage, extraction &amp; feeding system</t>
  </si>
  <si>
    <t>Clinker grinding circuit &amp; feeding to cement silos</t>
  </si>
  <si>
    <t>Cement mill dedusting</t>
  </si>
  <si>
    <t>Cement extraction from silos upto packers</t>
  </si>
  <si>
    <t>Packing, loading &amp; dispatch (2 packers, 6 truck loaders and 1 bulk loader)</t>
  </si>
  <si>
    <t>Structural Steel for sheds, hoppers, conveyors, ducts, chutes, etc. (approx. 2,250 t @Rs.50,000/ t)</t>
  </si>
  <si>
    <t>Material conveying system (approx.1200m @Rs.40,000/ m)</t>
  </si>
  <si>
    <t>Insulation (approx.8,500sqm @Rs.1000/ sqm)</t>
  </si>
  <si>
    <t>2.4</t>
  </si>
  <si>
    <t>Auxillary bag filters (approx. 12nos.)</t>
  </si>
  <si>
    <t>Material receiving system (Bulk receiving units with truck tippler facility, 2 nos.)</t>
  </si>
  <si>
    <t>Passenger lift (for CCR)</t>
  </si>
  <si>
    <t>Roots blowers</t>
  </si>
  <si>
    <t>Compressors &amp; dryers</t>
  </si>
  <si>
    <t>Misc. items like water pump &amp; pipeline, compressed air piping, etc.</t>
  </si>
  <si>
    <t>Cranes/Hoists and other miscellaneous items, etc.</t>
  </si>
  <si>
    <t>HT motors</t>
  </si>
  <si>
    <t xml:space="preserve">LT motors </t>
  </si>
  <si>
    <t>Table-top XRF</t>
  </si>
  <si>
    <t>Control &amp; Automation</t>
  </si>
  <si>
    <t>Imported Equipment</t>
  </si>
  <si>
    <t>F.O.B. Cost</t>
  </si>
  <si>
    <t>Provisioning for Ocean Freight, Insurance, etc. (approx.@6% of 4.1.1)</t>
  </si>
  <si>
    <t>Basic Import Duty provision (approx. @7.5% of 4.1.1 &amp; 4.1.2)</t>
  </si>
  <si>
    <t>GST (all taxes assumed to be clubbed under GST, approx.@18% of 4.1.1 to 4.1.3)</t>
  </si>
  <si>
    <t>Clearing/ Loading/ Inland Freight, etc. (approx.@5% of 4.1.1 + 4.1.2)</t>
  </si>
  <si>
    <t>Sub-total of Imported Equipment (4.1)</t>
  </si>
  <si>
    <t>F.O.R. cost</t>
  </si>
  <si>
    <t>GST provisioning on F.O.R. cost (@18% of 4.2.1)</t>
  </si>
  <si>
    <t>Provisioning for freight, handling, insurance, etc. (approx.@5% of 4.2.1)</t>
  </si>
  <si>
    <t>Sub-total of Indigenous Equipment (4.2)</t>
  </si>
  <si>
    <t>Total Landed Cost of Equipment (4.1 + 4.2)</t>
  </si>
  <si>
    <t>Provisioning for Spares (approx. @5% of F.O.B. &amp; F.O.R. landed cost)</t>
  </si>
  <si>
    <t>Fabrication of Str. Steel as in 2.1 above (2,250 t @Rs.20,000/ t)</t>
  </si>
  <si>
    <t>Erection, Comissioning &amp; Supervision Charges (approx.@12 % of F.O.R. + F.O.B.)</t>
  </si>
  <si>
    <t>GST on Fabrication, erection &amp; supervision charges (approx.@18% on (6.0+7.0))</t>
  </si>
  <si>
    <t>Total landed cost of equipment (Net of GST)</t>
  </si>
  <si>
    <t>Annexure 8.10</t>
  </si>
  <si>
    <t>COST OF POWER DISTRIBUTION EQUIPMENT - GU</t>
  </si>
  <si>
    <t>Transmission line from Grid substation (33kV, approx.6 km)</t>
  </si>
  <si>
    <t>Incomer switchyard &amp; power trasnformer</t>
  </si>
  <si>
    <t>6.6 kV switchboard</t>
  </si>
  <si>
    <t>6.6 /0.433 kV distribution transformer</t>
  </si>
  <si>
    <t>LT switchboard &amp; trunking</t>
  </si>
  <si>
    <t xml:space="preserve">MCC &amp; push button Station </t>
  </si>
  <si>
    <t>LV capacitors &amp; control panel</t>
  </si>
  <si>
    <t>Lighting transformer &amp; main lighting distribution board</t>
  </si>
  <si>
    <t>Cables (Power, Control &amp; Instrumentation)</t>
  </si>
  <si>
    <t>Construction power cables</t>
  </si>
  <si>
    <t>Earthing, lighting protection &amp; erection hardware</t>
  </si>
  <si>
    <t>Plant Illumination</t>
  </si>
  <si>
    <t>UPS, battery &amp; battery charger</t>
  </si>
  <si>
    <t xml:space="preserve">Ventilation system for electrical buildings </t>
  </si>
  <si>
    <t>Air conditioning</t>
  </si>
  <si>
    <t>PA system for intercom</t>
  </si>
  <si>
    <t>Fire detection system</t>
  </si>
  <si>
    <t xml:space="preserve">DG set for construction &amp; emergency power supply </t>
  </si>
  <si>
    <t>1.19</t>
  </si>
  <si>
    <t>Miscellaneous electricals</t>
  </si>
  <si>
    <t>Sub total (1.0)</t>
  </si>
  <si>
    <t>2.1.1</t>
  </si>
  <si>
    <t>2.1.2</t>
  </si>
  <si>
    <t>Ocean Freight, Insurance, etc. (approx.@6% of 2.1.1)</t>
  </si>
  <si>
    <t>2.1.3</t>
  </si>
  <si>
    <t>Basic Import Duty (@7.5% of 2.1.1 &amp; 2.1.2)</t>
  </si>
  <si>
    <t>2.1.4</t>
  </si>
  <si>
    <t>GST (all taxes assumed to be clubbed under GST, approx.@18% of 2.1.1 to 2.1.3)</t>
  </si>
  <si>
    <t>2.1.5</t>
  </si>
  <si>
    <t>Clearing/ Loading/ Inland Freight, etc. (approx.@5% of 2.1.1 + 2.1.2)</t>
  </si>
  <si>
    <t>Sub-total of Imported Equipment (2.1)</t>
  </si>
  <si>
    <t>2.2.1</t>
  </si>
  <si>
    <t>2.2.2</t>
  </si>
  <si>
    <t>GST provisioning on F.O.R. cost (@18% of 2.2.1)</t>
  </si>
  <si>
    <t>2.2.3</t>
  </si>
  <si>
    <t>Provisioning for freight, handling, insurance, etc. (approx.@5% of 2.2.1)</t>
  </si>
  <si>
    <t>Sub total (2.0)</t>
  </si>
  <si>
    <t>Total Landed Cost of Equipment (2.1 + 2.2)</t>
  </si>
  <si>
    <t>Provisioning for Spares (approx. @5% of total landed cost)</t>
  </si>
  <si>
    <t>Erection, Comissioning &amp; Supervision Charges (approx.@12 % of 2.1.1 + 2.2.1)</t>
  </si>
  <si>
    <t>GST on erection &amp; supervision charges (approx.@18% of 4.0)</t>
  </si>
  <si>
    <t>Total landed cost of Power Distribution Equipment  (2.0+3.0+4.0+5.0)</t>
  </si>
  <si>
    <t>Total landed cost of Power Distribution Equipment (Net of GST)</t>
  </si>
  <si>
    <t>Sr. No.</t>
  </si>
  <si>
    <t>Vendor</t>
  </si>
  <si>
    <t>Value (Rs. In Lakh)</t>
  </si>
  <si>
    <t>Environement and technical Research centre, Lucknow</t>
  </si>
  <si>
    <t>Preparation of TEFR for Proposed GU At Hamirpur, UP</t>
  </si>
  <si>
    <t>Holtec consulting Pvt. Ltd.</t>
  </si>
  <si>
    <t>Engg. Consultancy</t>
  </si>
  <si>
    <t>Raw mill and Cement mill for Hamirpur</t>
  </si>
  <si>
    <t>loesche (India Part)</t>
  </si>
  <si>
    <t>loesche (Foreign Part)</t>
  </si>
  <si>
    <t>Boundary wall construction</t>
  </si>
  <si>
    <t>M/s Vishal Enterprises</t>
  </si>
  <si>
    <t>Packing plant for hamirpur</t>
  </si>
  <si>
    <t>Beumer</t>
  </si>
  <si>
    <t>Engg. Services</t>
  </si>
  <si>
    <t>Loesche, India</t>
  </si>
  <si>
    <t>HAMIRPUR PROJECT</t>
  </si>
  <si>
    <t>LOI For environemnt Clearance for GU at Hamirpur</t>
  </si>
  <si>
    <t>PANNA PROJECT</t>
  </si>
  <si>
    <t>Apex Precast</t>
  </si>
  <si>
    <t>Topographical Wall Construction</t>
  </si>
  <si>
    <t>RK Consultants and Contractors</t>
  </si>
  <si>
    <t>Consultancy for Water lifting from ken river</t>
  </si>
  <si>
    <t>Vexl Environ Project private limited</t>
  </si>
  <si>
    <t>R+D Studio</t>
  </si>
  <si>
    <t>Master plan , architectural , landscape design and interior design services for panna colony</t>
  </si>
  <si>
    <t>3.15 MVA 33.0.433 KVA Trasformer</t>
  </si>
  <si>
    <t>Voltamp</t>
  </si>
  <si>
    <t>Supply of TMT Bar</t>
  </si>
  <si>
    <t>TATA Steel</t>
  </si>
  <si>
    <t>500 KVA DG Set</t>
  </si>
  <si>
    <t>Sudhir Power limited</t>
  </si>
  <si>
    <t>Brick masonary Boundary wall work at panna site</t>
  </si>
  <si>
    <t>Jay shree mahakal contractor</t>
  </si>
  <si>
    <t>Crushing system</t>
  </si>
  <si>
    <t>L&amp;T</t>
  </si>
  <si>
    <t>WHRS</t>
  </si>
  <si>
    <t>Thermax</t>
  </si>
  <si>
    <t>ESP and Bag hOuse</t>
  </si>
  <si>
    <t>Himenviro</t>
  </si>
  <si>
    <t>Crushing system 2 years spare</t>
  </si>
  <si>
    <t>Weigh Bridge 100 MT-4Nos.</t>
  </si>
  <si>
    <t>Rice lake weighing systems india Limited</t>
  </si>
  <si>
    <t>Engg services</t>
  </si>
  <si>
    <t>Loesche</t>
  </si>
  <si>
    <t>Civl stacker, reclaimer, Pyro, blending and clinker silo, mech. Staker reclaimer</t>
  </si>
  <si>
    <t>KEC International limited</t>
  </si>
  <si>
    <t>TMT supply-4000MT/PMC Services</t>
  </si>
  <si>
    <t>Mechanical fabrication erection for Pyro</t>
  </si>
  <si>
    <t>Hajee AP Bava</t>
  </si>
  <si>
    <t>PMC services</t>
  </si>
  <si>
    <t>Civil and structural work, WHRS, Cement Mill, packing plant, Cement mill silo and Fly ash silo</t>
  </si>
  <si>
    <t>Buildwell roject india pvt. Limited</t>
  </si>
  <si>
    <t>Site grading and levelling work at panna</t>
  </si>
  <si>
    <t>Karni Construction</t>
  </si>
  <si>
    <t>Civil consultancy order</t>
  </si>
  <si>
    <t>SecMec</t>
  </si>
  <si>
    <t>Road and Drainage work</t>
  </si>
  <si>
    <t>Karni construction</t>
  </si>
  <si>
    <t>Mech. &amp; E&amp;I Consultancy</t>
  </si>
  <si>
    <t>Holtec</t>
  </si>
  <si>
    <t>Civil work for workshop, Project office and Weighbridge</t>
  </si>
  <si>
    <t>Shree ram associates</t>
  </si>
  <si>
    <t>Piling works</t>
  </si>
  <si>
    <t>Parul foundation</t>
  </si>
  <si>
    <t>Pre-Cast Boundary wall work at panna site</t>
  </si>
  <si>
    <t>Tirupati Cemnt articles</t>
  </si>
  <si>
    <t>Cooler for Pyro</t>
  </si>
  <si>
    <t>IKN engineering India pvt. Ltd.</t>
  </si>
  <si>
    <t xml:space="preserve">Raw mill and pyro </t>
  </si>
  <si>
    <t xml:space="preserve">Thyssen </t>
  </si>
  <si>
    <t>Raw mill and cement mill for Panna</t>
  </si>
  <si>
    <t>Packing plant for Panna</t>
  </si>
  <si>
    <t>Pre cast boundary wall work at panna site</t>
  </si>
  <si>
    <t>RKB Enterprise</t>
  </si>
  <si>
    <t xml:space="preserve">Precast boundary wall </t>
  </si>
  <si>
    <t>Maharishi parashar Buildtech LLP</t>
  </si>
  <si>
    <t>Mohira precast Narsingpur</t>
  </si>
  <si>
    <t>stacker and reclaimer</t>
  </si>
  <si>
    <t>Takraf</t>
  </si>
  <si>
    <t>Tiranag precast</t>
  </si>
  <si>
    <t xml:space="preserve">Construction cable </t>
  </si>
  <si>
    <t>Havells india Limited</t>
  </si>
  <si>
    <t>Construction of guest house and hostel block</t>
  </si>
  <si>
    <t>M/s Asiatic</t>
  </si>
  <si>
    <t>Civil piling work</t>
  </si>
  <si>
    <t>M/s KEC</t>
  </si>
  <si>
    <t>Mineral exploration in Kakra block</t>
  </si>
  <si>
    <t>M/s GDS India</t>
  </si>
  <si>
    <t>Procurement of steel</t>
  </si>
  <si>
    <t>SAIL Jabalpur</t>
  </si>
  <si>
    <t>Amit singh Construction Company</t>
  </si>
  <si>
    <t xml:space="preserve">BLS type ambulance </t>
  </si>
  <si>
    <t xml:space="preserve">CK Motor </t>
  </si>
  <si>
    <t>Water lifting arrangement from ken river</t>
  </si>
  <si>
    <t>M/s aanjana pump services</t>
  </si>
  <si>
    <t>hiring of hydraulic drilling rig</t>
  </si>
  <si>
    <t>M/s National infra projects</t>
  </si>
  <si>
    <t>Hiring of 2nd Hydraulic drilling rig</t>
  </si>
  <si>
    <t>Supply of 28mm TMT</t>
  </si>
  <si>
    <t xml:space="preserve">JSPL </t>
  </si>
  <si>
    <t>Supply of MS Plate</t>
  </si>
  <si>
    <t>Shakti steel</t>
  </si>
  <si>
    <t>Oxygen/Nitrogen plant capacity 80 Cu. M</t>
  </si>
  <si>
    <t>Sanghi organisation, Mumbai</t>
  </si>
  <si>
    <t>Rain protection cover</t>
  </si>
  <si>
    <t>M/s ARDEE engineering</t>
  </si>
  <si>
    <t>Service contract for steel procurement</t>
  </si>
  <si>
    <t>Shree ganpatlal omkarlal agarwal and company</t>
  </si>
  <si>
    <t>Supply of Dry Fly Ash</t>
  </si>
  <si>
    <t>Ramesh chand grover</t>
  </si>
  <si>
    <t>Civil structural work-Plant buildings</t>
  </si>
  <si>
    <t>M.s kamal Builders</t>
  </si>
  <si>
    <t>Civil structural work-Crusher section</t>
  </si>
  <si>
    <t xml:space="preserve">M/s Karni </t>
  </si>
  <si>
    <t xml:space="preserve">Bought out items </t>
  </si>
  <si>
    <t>Mahindra tsubaki</t>
  </si>
  <si>
    <t>Tsubaki</t>
  </si>
  <si>
    <t>Beumer Germany</t>
  </si>
  <si>
    <t>132 KV Transmission line</t>
  </si>
  <si>
    <t>Suresh techno (India) LLP</t>
  </si>
  <si>
    <t>Turbine for WHRS</t>
  </si>
  <si>
    <t>Siemens</t>
  </si>
  <si>
    <t>Steel supply</t>
  </si>
  <si>
    <t>SAIL Indore</t>
  </si>
  <si>
    <t>Site grading and levelling works</t>
  </si>
  <si>
    <t>M/s Amit singh construction</t>
  </si>
  <si>
    <t>Construction of Service road</t>
  </si>
  <si>
    <t>Supply and instllation fo pre-fabricated security barrack</t>
  </si>
  <si>
    <t>M/s tinny Craft</t>
  </si>
  <si>
    <t xml:space="preserve">Security services </t>
  </si>
  <si>
    <t>SIS</t>
  </si>
  <si>
    <t>Grand total as During 1st LIE Report</t>
  </si>
  <si>
    <t>Agreement Amount</t>
  </si>
  <si>
    <t>Buildings and Civil Structures</t>
  </si>
  <si>
    <t>Engineering &amp; Know how</t>
  </si>
  <si>
    <t>Expense on training and foreign technicians</t>
  </si>
  <si>
    <t>Miscellaneous Fixed assets</t>
  </si>
  <si>
    <t>Pre-operative expenses including during IDC</t>
  </si>
  <si>
    <t>Contingency@7.5%</t>
  </si>
  <si>
    <t>Margin money for working capital</t>
  </si>
  <si>
    <t>Total Project Cost</t>
  </si>
  <si>
    <t>Promoter’s Contribution (Equity)</t>
  </si>
  <si>
    <t>Term Loan (Debt)</t>
  </si>
  <si>
    <t>Raw Mill Hopper 1</t>
  </si>
  <si>
    <t>Raw Mill House 1</t>
  </si>
  <si>
    <t>Raw mill Hopper 2</t>
  </si>
  <si>
    <t>Raw mill House 2</t>
  </si>
  <si>
    <t>Foundation expenditure</t>
  </si>
  <si>
    <t>Mines garage (Future)</t>
  </si>
  <si>
    <t>Grand Total</t>
  </si>
  <si>
    <t>Total (1.0+2.0+3.0+4.0+5.0+7.0)</t>
  </si>
  <si>
    <t>Foundation work Cost</t>
  </si>
  <si>
    <t>FOB Progress</t>
  </si>
  <si>
    <t>FOR progress</t>
  </si>
  <si>
    <t>FOB Expenditure</t>
  </si>
  <si>
    <t>FOR Expenditure</t>
  </si>
  <si>
    <t>F.O.B Cost (Imported)</t>
  </si>
  <si>
    <t>F.O.R cost (Indigenous Equipment)</t>
  </si>
  <si>
    <t>F.O.B. 
(Imported)</t>
  </si>
  <si>
    <t>F.O.R. 
(Indigeneous)</t>
  </si>
  <si>
    <t>also consider WHRS expenditure</t>
  </si>
  <si>
    <t>Plant and machinery works</t>
  </si>
  <si>
    <t>Building and Civil works</t>
  </si>
  <si>
    <t>Construction progress achieved</t>
  </si>
  <si>
    <t>Expenditure allocated</t>
  </si>
  <si>
    <t>Expenditure done</t>
  </si>
  <si>
    <t>Total expenditure</t>
  </si>
  <si>
    <t>Total expenditure incurred till date</t>
  </si>
  <si>
    <t>Crore</t>
  </si>
  <si>
    <t>FOR Progress</t>
  </si>
  <si>
    <t>FOB Expenditur</t>
  </si>
  <si>
    <t>s</t>
  </si>
  <si>
    <t>Particulars</t>
  </si>
  <si>
    <t>Sr. No</t>
  </si>
  <si>
    <r>
      <t>GRINDING UNIT</t>
    </r>
    <r>
      <rPr>
        <b/>
        <i/>
        <sz val="11"/>
        <color theme="1"/>
        <rFont val="Arial"/>
        <family val="2"/>
      </rPr>
      <t xml:space="preserve"> (Amount in Lakh)</t>
    </r>
  </si>
  <si>
    <t>Total progress Achieved</t>
  </si>
  <si>
    <r>
      <t>INTEGRATED UNIT</t>
    </r>
    <r>
      <rPr>
        <b/>
        <sz val="11"/>
        <color theme="1"/>
        <rFont val="Arial"/>
        <family val="2"/>
      </rPr>
      <t xml:space="preserve"> </t>
    </r>
    <r>
      <rPr>
        <b/>
        <i/>
        <sz val="11"/>
        <color theme="1"/>
        <rFont val="Arial"/>
        <family val="2"/>
      </rPr>
      <t>(Amount in Lakh)</t>
    </r>
  </si>
  <si>
    <t>Cement mill house (Including Dedusting structures &amp; Stack supporting structure)</t>
  </si>
  <si>
    <t>No progress was observed during site visit</t>
  </si>
  <si>
    <t>Clinker load-out silos (4 nos.)</t>
  </si>
  <si>
    <t>Flysash silo foundation works are under progress</t>
  </si>
  <si>
    <t>No progress Observed during site visit</t>
  </si>
  <si>
    <t>No Progress observed during site visit</t>
  </si>
  <si>
    <t>SUMMARY OF EXPENDITURE ASSESSED BASED ON PHYSICAL PROGRESS</t>
  </si>
  <si>
    <t>PHYSICAL PROGRESS OF STRUCTURES IN THE PROJECT- INTEGRATED UNIT</t>
  </si>
  <si>
    <t>COST OF CIVIL STRUCTURES AND FOUNDATIONS - GRINDING UNIT</t>
  </si>
  <si>
    <t>One Silo complete another in Progress (foundation work completed)</t>
  </si>
  <si>
    <t>3 out of 5 Slabs are completed, 4th floor column erected during site visit</t>
  </si>
  <si>
    <t xml:space="preserve">Foundation work Completed </t>
  </si>
  <si>
    <t>Foundation work completed superstructure under finishing</t>
  </si>
  <si>
    <t>Structure Completed</t>
  </si>
  <si>
    <t>foundation work completed and column erection work in Progress</t>
  </si>
  <si>
    <t>2 no. of weigh bridges installed on site and 1 need to be installed foundation work completed</t>
  </si>
  <si>
    <t>excavation of the trenches is in progress</t>
  </si>
  <si>
    <t xml:space="preserve">Civil work completed and  Mechanical and machinery work is in progress.  </t>
  </si>
  <si>
    <t>foundation work of the silo is complete upto 11.5m silo wall height out of 50m of total height and tunnel work in progress</t>
  </si>
  <si>
    <t>HAG support structure is complete</t>
  </si>
  <si>
    <t>foundation work completed</t>
  </si>
  <si>
    <t>the strcuture is not found at the site at the time of survey</t>
  </si>
  <si>
    <t>Superstructure completed the strcuture along the bag house is load centre</t>
  </si>
  <si>
    <t>Structure of the workshop is completed</t>
  </si>
  <si>
    <t xml:space="preserve">partial erection of belt convyor is completed </t>
  </si>
  <si>
    <t>September Foundation progress %</t>
  </si>
  <si>
    <t>December Foundation Progress %</t>
  </si>
  <si>
    <t>September Building Progress %</t>
  </si>
  <si>
    <t>December Building Progress %</t>
  </si>
  <si>
    <t>September 2021 Foundation Progress 
(%)</t>
  </si>
  <si>
    <t>December 2021 Foundation progress 
(%)</t>
  </si>
  <si>
    <t>September 2021 Building Progress 
(%)</t>
  </si>
  <si>
    <t>December 2021 Building Progress 
(%)</t>
  </si>
  <si>
    <t xml:space="preserve">Out of 3 no. of RCC Slabs, 3no. of RCC Slabs have been casted  and structure is completed. </t>
  </si>
  <si>
    <t>March 2022 Building Progress 
(%)</t>
  </si>
  <si>
    <t>March 2022 Foundation progress 
(%)</t>
  </si>
  <si>
    <t>Gypsum, pond ash storage (linear, covered)</t>
  </si>
  <si>
    <t>March Building Progress %</t>
  </si>
  <si>
    <t>linear &amp; covered storage sheds for Gypsum, Pond ash &amp; Coal</t>
  </si>
  <si>
    <t>As per information provided by the engineer during visit, the main indoor substaion is at CCR building. During site visit the same was found to be completed.</t>
  </si>
  <si>
    <t>Structure of CCR building is completed and is currently finsishing works are under progress.</t>
  </si>
  <si>
    <t>Not yet started</t>
  </si>
  <si>
    <t>Structure for CCR, Technical office, Laboratory, etc. is complete. During site visit finsihing works were under progress.</t>
  </si>
  <si>
    <t>Structure of MCC room is complete and Structures of various small load centres in the project are under progress. 
All the panel in the MCC rooms are installed whereas cable work is going on in the Main Load centre</t>
  </si>
  <si>
    <t>No work started in Compressor house</t>
  </si>
  <si>
    <t>BRU (Bulk Reception Unit) &amp; truck tippler foundations with common ramp for receiving clinker &amp; gypsum</t>
  </si>
  <si>
    <t>June 2022 Building Progress 
(%)</t>
  </si>
  <si>
    <t>June 2022 Foundation Progress 
(%)</t>
  </si>
  <si>
    <t>March Foundation Progress %</t>
  </si>
  <si>
    <t xml:space="preserve">Common Loan Agreement </t>
  </si>
  <si>
    <t>S.No.</t>
  </si>
  <si>
    <t xml:space="preserve">Source of Funds </t>
  </si>
  <si>
    <t xml:space="preserve">Particulars </t>
  </si>
  <si>
    <t>Rs. In Crores</t>
  </si>
  <si>
    <t>Promoters Contribution</t>
  </si>
  <si>
    <t xml:space="preserve">Loan Disbursement </t>
  </si>
  <si>
    <t xml:space="preserve">Total (1) + (2) </t>
  </si>
  <si>
    <t>Balance in Bank Account/FDRs</t>
  </si>
  <si>
    <t xml:space="preserve">Total (3) - (4) </t>
  </si>
  <si>
    <t>Others (Project Creditors)</t>
  </si>
  <si>
    <t>Total (5) + (6)</t>
  </si>
  <si>
    <t>Date</t>
  </si>
  <si>
    <t>Item</t>
  </si>
  <si>
    <t>Expense Incured in September (in crores)</t>
  </si>
  <si>
    <t>Expense incured in crore (Dec.)</t>
  </si>
  <si>
    <t>Estimated Project Cost as per the Holtec Report</t>
  </si>
  <si>
    <t>September</t>
  </si>
  <si>
    <t>December</t>
  </si>
  <si>
    <t>January</t>
  </si>
  <si>
    <t>Land and site Development</t>
  </si>
  <si>
    <t>Plant and Machinery/ Building &amp; Civil Structures/ Miscellaneous Fixed assests</t>
  </si>
  <si>
    <t xml:space="preserve">Pre-operative Expenses/ Engineering and Knowhow/ Training &amp; Foreign Technician Expenses </t>
  </si>
  <si>
    <t>Interest during construction Period</t>
  </si>
  <si>
    <t>Contingency</t>
  </si>
  <si>
    <t>Margin Money Capital for working Capital</t>
  </si>
  <si>
    <t>Rs. (in crore)</t>
  </si>
  <si>
    <t>Rs. in crore</t>
  </si>
  <si>
    <t>Project Creditors</t>
  </si>
  <si>
    <t>Expenses incurred (in cr.)</t>
  </si>
  <si>
    <t>Estimated Project Cost as per Holtec</t>
  </si>
  <si>
    <t xml:space="preserve">Total </t>
  </si>
  <si>
    <t xml:space="preserve">Debt </t>
  </si>
  <si>
    <t>Equity Contribution</t>
  </si>
  <si>
    <t>UDIN No.</t>
  </si>
  <si>
    <t>22424004AOQULC5196</t>
  </si>
  <si>
    <t>CA Certificate date</t>
  </si>
  <si>
    <t xml:space="preserve">% expenses </t>
  </si>
  <si>
    <t xml:space="preserve">Total Capacity </t>
  </si>
  <si>
    <t>4 Mn. TPA</t>
  </si>
  <si>
    <t xml:space="preserve">Workers Dorms is complete and operational. </t>
  </si>
  <si>
    <t xml:space="preserve">Guest house is complete and operational. </t>
  </si>
  <si>
    <t>School building and allied Facilities</t>
  </si>
  <si>
    <t>Structure of Club, gymnasium, recreation, etc. is complete.</t>
  </si>
  <si>
    <t>civil</t>
  </si>
  <si>
    <t>Mechanical</t>
  </si>
  <si>
    <t xml:space="preserve">1. Raw Mil-1 Civil Structure Complete 
2. Raw mill-2 Civil Structure Complete </t>
  </si>
  <si>
    <t xml:space="preserve">civil work of the raw mill bag house is completed </t>
  </si>
  <si>
    <t xml:space="preserve">1. Structure work is complete 
2. Total height of 57.6m is achieved 
</t>
  </si>
  <si>
    <t>Trial Done,  only Conveying System is in Progress i.e. conveyor to Coal Hopper and futher to Coal Mill remainig</t>
  </si>
  <si>
    <t xml:space="preserve">Mechanical work for the substation is complete </t>
  </si>
  <si>
    <t xml:space="preserve">90% mechanical work is complete for the cement mill hopper building </t>
  </si>
  <si>
    <t xml:space="preserve">Civil work of Cement silos are completed. There are a total of 3 silo's and curently mechanical part of the silo's are in progress as per discussion during site visit with the engineer.
</t>
  </si>
  <si>
    <t xml:space="preserve">Open air slider for the silo are yet to be erected </t>
  </si>
  <si>
    <t>Erection of fly ash Silo completed with some minor internal works pending which are anticipated to completed in due course.</t>
  </si>
  <si>
    <t>Work was in Progress</t>
  </si>
  <si>
    <t xml:space="preserve">Water storage tank is completed  only connecting  Pipeline Remaining </t>
  </si>
  <si>
    <t>Civil</t>
  </si>
  <si>
    <t>Water storage Tank side walls completed and top slab works under progress. 
Water treatment works yet to start in the project.</t>
  </si>
  <si>
    <t>RCC drains work was in progress.</t>
  </si>
  <si>
    <t xml:space="preserve">1. RCC Structure complete 
2. 50% of the steel frame remaining </t>
  </si>
  <si>
    <t xml:space="preserve">Work for Belt conveyor is in Progress in the Plant </t>
  </si>
  <si>
    <t xml:space="preserve">1. Packing plant structure complete brick work in Progress
2. truck loading Section Complete 
3. Bags Godown structure complete  </t>
  </si>
  <si>
    <t>As per physical progress observed and subsequent discussion with the site engnieer, structure of Clinker silo is complete only roof in progress</t>
  </si>
  <si>
    <t xml:space="preserve">Weigh bridges is completely installed </t>
  </si>
  <si>
    <t>Electric pole foundation works complete. Erection of Towers under progress.</t>
  </si>
  <si>
    <t>Out of 4 slabs, all the 4 slabs completed</t>
  </si>
  <si>
    <t>1. Foundation,retaining walls and steel frame for the shed is complete for the BRU
2. both the box feeders are installed 
3. 1 Ramp is complete and other is in progress as found at site.
4. Foundation for the Fan is Complete</t>
  </si>
  <si>
    <t xml:space="preserve">Foundations &amp; pedestals for belt conveyor galleries are Complete  
1.belt conveyor from clinker silo to clinker hopper is completed. 
2. Connecting Conveyor from Cement mill recirculation building to cement mill hopper building  is also complete
3.BRU to Clinker silo is also at the end stage 
</t>
  </si>
  <si>
    <t xml:space="preserve">VRM </t>
  </si>
  <si>
    <t>60 to 65% Complete</t>
  </si>
  <si>
    <t>September 2022 Building Progress (%)</t>
  </si>
  <si>
    <t>September 2022 Foundation Progress (%)</t>
  </si>
  <si>
    <t>The limestone crusher unit was in operation at the time of survey and all the civil structure was developed</t>
  </si>
  <si>
    <t>1. Grizzle Feeder to be installed was installed 
2. Connecting Conveyors were Present at the site at the time of Survey in the previous quarter and is complete now. 
3. Surge bin, Primary Screener and Secondary screener were installed 
4. 33 Kv transformer was in Place and charged at the site 
5. Overall the Limestone Crusher Mechanical progress is about 90%</t>
  </si>
  <si>
    <t xml:space="preserve">Insulation work remaining </t>
  </si>
  <si>
    <t>1. Out of total of 8 slabs all 8 Slabs are completed (Total height of Preheater is 159.6m) 
2. Supporting Strucutre for the boiler is in progress</t>
  </si>
  <si>
    <t xml:space="preserve">a. Raw mill-1: - All the mechanical work right from the hoppers and the fan motors rollers and compressors were in Place and are ready for the trial run
b. Raw mill-2: - All the major equipment like the roller unit and the motors were in place and are installed along with the conveying system whereas the compressor at the ground floor was yet to be placed and as per information both the raw mills are to be trial by upcoming week which seems reasonable 
The overall mechanical work is around 90% for the raw mills </t>
  </si>
  <si>
    <t>Complete</t>
  </si>
  <si>
    <t xml:space="preserve">All the machinery and the fabrication is complete for the TA duct and the Rotary Kiln only refactory bricks for the kilns were in last stage and the burner was ready to be inserted in the kiln </t>
  </si>
  <si>
    <t>all the three floors were constructed at the time of survey</t>
  </si>
  <si>
    <t xml:space="preserve">1. Preheater Fan (from BHEL) was installed this time 
3. Boiler Erection Remaining 
4. boiler for the preheater was being fabricated at the time of the survey </t>
  </si>
  <si>
    <t xml:space="preserve">Coal crusher house structure is Completed </t>
  </si>
  <si>
    <t>Mechanical work for the cooler house was complete and was around 80% (Major equipments like fan,shaft, motors, Plate were installed )</t>
  </si>
  <si>
    <t>Coal mill and the supporting Mechanical conveyor system were complete</t>
  </si>
  <si>
    <t xml:space="preserve">a 1. All the received tanks are installed in coal mill house. (Total 3 Tanks)
2. 3 out of 3 bins are erected
3. 5 blowers out of 5 are also erected. However final connection to Fans which was under progress earlier is complete.
b 4. Ducting work is complete 
5. Bag House Installation complete
6. Conveying System complete  
</t>
  </si>
  <si>
    <t>Was in Operation</t>
  </si>
  <si>
    <t xml:space="preserve">Was in Operation </t>
  </si>
  <si>
    <t xml:space="preserve">1. Foundation of Blending silo is almost completed with minor misclelaneous and small works pending for the silo.
2. Blending silo is completely erected only the roof of the silo is remaining </t>
  </si>
  <si>
    <t xml:space="preserve">Mechanical work for the HAG is complete </t>
  </si>
  <si>
    <t xml:space="preserve">Reclaimer and stacker are in operation and the conveyor is also complete </t>
  </si>
  <si>
    <t xml:space="preserve">Structure of Raw mill hoppers is complete and all the hoppers are in place. Civil works of the same is complete. Only block work in few section of the building is remaining  </t>
  </si>
  <si>
    <t xml:space="preserve">Hooper and the way feeder are already installed </t>
  </si>
  <si>
    <t xml:space="preserve">1. tunnel work completed 
2. RCC strcuture of the silo is completed 
3. Centre shaft completed 
</t>
  </si>
  <si>
    <t xml:space="preserve">Penthouse and DPC erection work is complete and the load out hopper along with the conveyors were found to be operational as on the date of visit </t>
  </si>
  <si>
    <t xml:space="preserve">Mechanical work of air sliders  is in Progress and bag filter and the bucket elevators are already installed </t>
  </si>
  <si>
    <t>Out of 4 silos, 4 silos are completely erected only the floors are remaining.</t>
  </si>
  <si>
    <t xml:space="preserve">80% of the Mechanical Work is complete and the conveyor from the silo is yet to be connected to these silos </t>
  </si>
  <si>
    <t>Civil work for substation is complete and erection of electric towers are complete</t>
  </si>
  <si>
    <t xml:space="preserve">One of the three silos are already in use 
The mechanical work for the second Silo is already at the finishing stage whereas the mechanical work for the third Silo is in progress which will be completed with in next 15 days as per information during the site visit </t>
  </si>
  <si>
    <t xml:space="preserve">Struture is already erect as per the observation during the site survey </t>
  </si>
  <si>
    <t>Currently</t>
  </si>
  <si>
    <t>Mechanical work for the Switchyard  is complete and the line is charged</t>
  </si>
  <si>
    <t>4 Weigh bridge was found to be installed at site.</t>
  </si>
  <si>
    <t xml:space="preserve">Robo lab and the CCR room was complete </t>
  </si>
  <si>
    <t>Panels installed in the LC and the MCC rooms and cabling work in Cable celler was in Progress</t>
  </si>
  <si>
    <t>Civil work was Complete</t>
  </si>
  <si>
    <t>Panels and the transformer were found installed at the time of Survey</t>
  </si>
  <si>
    <t>the status is similar to previous quarter, Bachelor's Executive hostel is complete and operational. However minor works of the asthetic works are still left which will be completed in due course.</t>
  </si>
  <si>
    <t xml:space="preserve">Overhed cable gallery is complete </t>
  </si>
  <si>
    <t xml:space="preserve">Cabling work in the Galleries is in final stage </t>
  </si>
  <si>
    <t xml:space="preserve">all the weigh bridges were installed 
1) at the Main  Security Gate
2) At packaging Plant </t>
  </si>
  <si>
    <t>1. Road works started in the project. The road connecting the gate to the main approach road is complete.
 2. Single lane of the road connecting the office to the gate was complete in the previous quarter whereas the other lane is completed in the Sep quarter 
3. Road Construction in the Plant area is still hasn't started
4. Drains work was in Progress 
5. Green area Not yet established
6.Water tank and WTP work is 85 to 90% complete as per observation</t>
  </si>
  <si>
    <t xml:space="preserve">1. cement silo-1 RCC structure complete 
2. cement silo-2  RCC structure Complete </t>
  </si>
  <si>
    <t>Cable galleries foundation and pedastal erection works is completed.</t>
  </si>
  <si>
    <t xml:space="preserve">Silo is completely erected </t>
  </si>
  <si>
    <t xml:space="preserve">Flyash Silo pneumatic system and the Bag Filters were erected at the time of survey </t>
  </si>
  <si>
    <t xml:space="preserve">Hopper for the same is completely erected and the connecting Conveyors are also erected </t>
  </si>
  <si>
    <t xml:space="preserve">Machinery for the Bulk loading is the only major machinery Left in the Packaging Plant all of the Packing section related to Bag Packaging is complete </t>
  </si>
  <si>
    <t>Foundation is complete and the frame structure is also complete only the Block work for the Structure is in Progress</t>
  </si>
  <si>
    <t>Machinery for the HAG is already installed</t>
  </si>
  <si>
    <t>Cables are completely ran in these galleries</t>
  </si>
  <si>
    <t>Mechanical for the BRU unit is complete and is already undergone Pseudo Trial</t>
  </si>
  <si>
    <t>Mechanical work complete</t>
  </si>
  <si>
    <t>Mechanical work for the Treatment Plant is complete and is in final Stage of the installatin</t>
  </si>
  <si>
    <t>Already complete and is ready for trial run</t>
  </si>
  <si>
    <t>Mechanical work of the MCC room is complete and the Cable in the Cable Celler is also in the final Stage of the work</t>
  </si>
  <si>
    <t xml:space="preserve">Majority of the Equipments are in the Lab 
The technical office is in the finishing Stage 
The CCR is already established </t>
  </si>
  <si>
    <t>Complete and Charged</t>
  </si>
  <si>
    <t xml:space="preserve">Mechanical work for both the silo  are complete </t>
  </si>
  <si>
    <t>Mechanical work supporting the transfer of Clinker is complete along with the extract line</t>
  </si>
  <si>
    <t xml:space="preserve">Fabricated steel column are erected, shed installion and flooring Complete </t>
  </si>
  <si>
    <t xml:space="preserve">All the Fabrication and the Bag House Equipments like the Bag Filters Cages are installed in the Dedusting Building along with Bucket Elevators and the Fan </t>
  </si>
  <si>
    <t>work was in Progress</t>
  </si>
  <si>
    <t>September'22 Foundation progress %</t>
  </si>
  <si>
    <t>September'22 Building progress %</t>
  </si>
  <si>
    <t>June'22 Building Progress %</t>
  </si>
  <si>
    <t>June'22 Foundation Progress %</t>
  </si>
  <si>
    <t xml:space="preserve">SR. 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</si>
</sst>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0.00_)"/>
    <numFmt numFmtId="165" formatCode="[$₹-439]#,##0.00"/>
  </numFmts>
  <fonts count="28"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rgb="FF000000"/>
      <name val="Arial"/>
      <family val="2"/>
    </font>
    <font>
      <b/>
      <sz val="11"/>
      <color rgb="FF000000"/>
      <name val="Arial"/>
      <family val="2"/>
    </font>
    <font>
      <sz val="11"/>
      <color theme="1"/>
      <name val="Calibri"/>
      <family val="2"/>
      <scheme val="minor"/>
    </font>
    <font>
      <sz val="11"/>
      <color rgb="FFFF0000"/>
      <name val="Calibri"/>
      <family val="2"/>
      <scheme val="minor"/>
    </font>
    <font>
      <b/>
      <u/>
      <sz val="11"/>
      <color theme="1"/>
      <name val="Arial"/>
      <family val="2"/>
    </font>
    <font>
      <sz val="11"/>
      <color theme="1"/>
      <name val="Arial"/>
      <family val="2"/>
    </font>
    <font>
      <b/>
      <sz val="11"/>
      <color theme="1"/>
      <name val="Arial"/>
      <family val="2"/>
    </font>
    <font>
      <sz val="11"/>
      <color rgb="FFFF0000"/>
      <name val="Arial"/>
      <family val="2"/>
    </font>
    <font>
      <b/>
      <u/>
      <sz val="16"/>
      <color theme="4" tint="-0.249977111117893"/>
      <name val="Arial"/>
      <family val="2"/>
    </font>
    <font>
      <b/>
      <u/>
      <sz val="18"/>
      <color theme="4" tint="-0.249977111117893"/>
      <name val="Calibri"/>
      <family val="2"/>
      <scheme val="minor"/>
    </font>
    <font>
      <b/>
      <u/>
      <sz val="18"/>
      <color theme="4" tint="-0.249977111117893"/>
      <name val="Arial"/>
      <family val="2"/>
    </font>
    <font>
      <b/>
      <i/>
      <sz val="11"/>
      <color theme="1"/>
      <name val="Arial"/>
      <family val="2"/>
    </font>
    <font>
      <b/>
      <sz val="11"/>
      <color theme="0"/>
      <name val="Calibri"/>
      <family val="2"/>
      <scheme val="minor"/>
    </font>
    <font>
      <b/>
      <u/>
      <sz val="16"/>
      <color theme="1"/>
      <name val="Arial"/>
      <family val="2"/>
    </font>
    <font>
      <b/>
      <sz val="11"/>
      <color theme="0"/>
      <name val="Arial"/>
      <family val="2"/>
    </font>
    <font>
      <b/>
      <u/>
      <sz val="11"/>
      <color theme="3" tint="0.39997558519241921"/>
      <name val="Arial"/>
      <family val="2"/>
    </font>
    <font>
      <sz val="11"/>
      <name val="Calibri"/>
      <family val="2"/>
      <scheme val="minor"/>
    </font>
    <font>
      <sz val="11"/>
      <color theme="1"/>
      <name val="Calibri"/>
      <family val="2"/>
    </font>
    <font>
      <b/>
      <sz val="12"/>
      <color theme="0"/>
      <name val="Arial"/>
      <family val="2"/>
    </font>
    <font>
      <b/>
      <sz val="12"/>
      <color theme="1"/>
      <name val="Arial"/>
      <family val="2"/>
    </font>
    <font>
      <sz val="12"/>
      <color theme="1"/>
      <name val="Arial"/>
      <family val="2"/>
    </font>
    <font>
      <sz val="12"/>
      <name val="Arial"/>
      <family val="2"/>
    </font>
    <font>
      <sz val="11"/>
      <name val="Arial"/>
      <family val="2"/>
    </font>
    <font>
      <b/>
      <sz val="11"/>
      <name val="Arial"/>
      <family val="2"/>
    </font>
  </fonts>
  <fills count="13">
    <fill>
      <patternFill patternType="none"/>
    </fill>
    <fill>
      <patternFill patternType="gray125"/>
    </fill>
    <fill>
      <patternFill patternType="solid">
        <fgColor rgb="FFDBE5F1"/>
        <bgColor indexed="64"/>
      </patternFill>
    </fill>
    <fill>
      <patternFill patternType="solid">
        <fgColor rgb="FFFFFFFF"/>
        <bgColor indexed="64"/>
      </patternFill>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0070C0"/>
        <bgColor indexed="64"/>
      </patternFill>
    </fill>
    <fill>
      <patternFill patternType="solid">
        <fgColor theme="4" tint="0.59999389629810485"/>
        <bgColor indexed="64"/>
      </patternFill>
    </fill>
    <fill>
      <patternFill patternType="solid">
        <fgColor theme="4" tint="0.79998168889431442"/>
        <bgColor theme="4" tint="0.79998168889431442"/>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4BACC6"/>
      </left>
      <right style="medium">
        <color rgb="FF4BACC6"/>
      </right>
      <top style="thick">
        <color rgb="FF4BACC6"/>
      </top>
      <bottom style="thick">
        <color rgb="FF4BACC6"/>
      </bottom>
      <diagonal/>
    </border>
    <border>
      <left/>
      <right style="medium">
        <color rgb="FF4BACC6"/>
      </right>
      <top style="thick">
        <color rgb="FF4BACC6"/>
      </top>
      <bottom style="thick">
        <color rgb="FF4BACC6"/>
      </bottom>
      <diagonal/>
    </border>
    <border>
      <left style="medium">
        <color rgb="FF4BACC6"/>
      </left>
      <right style="medium">
        <color rgb="FF4BACC6"/>
      </right>
      <top/>
      <bottom style="medium">
        <color rgb="FF4BACC6"/>
      </bottom>
      <diagonal/>
    </border>
    <border>
      <left/>
      <right style="medium">
        <color rgb="FF4BACC6"/>
      </right>
      <top/>
      <bottom style="medium">
        <color rgb="FF4BACC6"/>
      </bottom>
      <diagonal/>
    </border>
    <border>
      <left style="medium">
        <color theme="4" tint="-0.24994659260841701"/>
      </left>
      <right/>
      <top/>
      <bottom/>
      <diagonal/>
    </border>
    <border>
      <left/>
      <right style="medium">
        <color theme="4" tint="-0.24994659260841701"/>
      </right>
      <top/>
      <bottom/>
      <diagonal/>
    </border>
    <border>
      <left/>
      <right style="medium">
        <color theme="4" tint="-0.24994659260841701"/>
      </right>
      <top style="medium">
        <color theme="4" tint="-0.24994659260841701"/>
      </top>
      <bottom/>
      <diagonal/>
    </border>
    <border>
      <left/>
      <right/>
      <top style="medium">
        <color theme="4" tint="-0.24994659260841701"/>
      </top>
      <bottom/>
      <diagonal/>
    </border>
    <border>
      <left style="medium">
        <color theme="4" tint="-0.24994659260841701"/>
      </left>
      <right/>
      <top style="medium">
        <color theme="4" tint="-0.24994659260841701"/>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164" fontId="2" fillId="0" borderId="0"/>
    <xf numFmtId="9" fontId="6" fillId="0" borderId="0" applyFont="0" applyFill="0" applyBorder="0" applyAlignment="0" applyProtection="0"/>
    <xf numFmtId="44" fontId="6" fillId="0" borderId="0" applyFont="0" applyFill="0" applyBorder="0" applyAlignment="0" applyProtection="0"/>
  </cellStyleXfs>
  <cellXfs count="293">
    <xf numFmtId="0" fontId="0" fillId="0" borderId="0" xfId="0"/>
    <xf numFmtId="0" fontId="0" fillId="0" borderId="1" xfId="0" applyBorder="1"/>
    <xf numFmtId="0" fontId="3" fillId="0" borderId="0" xfId="0" applyFont="1"/>
    <xf numFmtId="0" fontId="1" fillId="0" borderId="0" xfId="0" applyFont="1"/>
    <xf numFmtId="0" fontId="1" fillId="0" borderId="1" xfId="0" applyFont="1" applyBorder="1"/>
    <xf numFmtId="0" fontId="0" fillId="0" borderId="1" xfId="0" applyBorder="1" applyAlignment="1">
      <alignment horizontal="center"/>
    </xf>
    <xf numFmtId="2" fontId="1" fillId="0" borderId="1" xfId="0" applyNumberFormat="1" applyFont="1" applyBorder="1"/>
    <xf numFmtId="2" fontId="0" fillId="0" borderId="1" xfId="0" applyNumberFormat="1" applyBorder="1"/>
    <xf numFmtId="2" fontId="0" fillId="0" borderId="1" xfId="0" applyNumberFormat="1" applyBorder="1" applyAlignment="1">
      <alignment horizontal="center"/>
    </xf>
    <xf numFmtId="0" fontId="1" fillId="0" borderId="1" xfId="0" applyFont="1" applyBorder="1" applyAlignment="1">
      <alignment horizontal="center"/>
    </xf>
    <xf numFmtId="2" fontId="0" fillId="0" borderId="0" xfId="0" applyNumberFormat="1"/>
    <xf numFmtId="2" fontId="1" fillId="0" borderId="0" xfId="0" applyNumberFormat="1" applyFont="1"/>
    <xf numFmtId="0" fontId="4" fillId="0" borderId="5" xfId="0" applyFont="1" applyBorder="1" applyAlignment="1">
      <alignment vertical="center" wrapText="1"/>
    </xf>
    <xf numFmtId="0" fontId="4" fillId="0" borderId="6" xfId="0" applyFont="1" applyBorder="1" applyAlignment="1">
      <alignment horizontal="right" vertical="center" wrapText="1"/>
    </xf>
    <xf numFmtId="0" fontId="4" fillId="0" borderId="7" xfId="0" applyFont="1" applyBorder="1" applyAlignment="1">
      <alignment vertical="center" wrapText="1"/>
    </xf>
    <xf numFmtId="0" fontId="4" fillId="0" borderId="8" xfId="0" applyFont="1" applyBorder="1" applyAlignment="1">
      <alignment horizontal="right" vertical="center" wrapText="1"/>
    </xf>
    <xf numFmtId="0" fontId="5" fillId="2" borderId="7" xfId="0" applyFont="1" applyFill="1" applyBorder="1" applyAlignment="1">
      <alignment vertical="center" wrapText="1"/>
    </xf>
    <xf numFmtId="0" fontId="5" fillId="2" borderId="8" xfId="0" applyFont="1" applyFill="1" applyBorder="1" applyAlignment="1">
      <alignment horizontal="right" vertical="center" wrapText="1"/>
    </xf>
    <xf numFmtId="0" fontId="5" fillId="3" borderId="9" xfId="0" applyFont="1" applyFill="1" applyBorder="1" applyAlignment="1">
      <alignment vertical="center" wrapText="1"/>
    </xf>
    <xf numFmtId="0" fontId="5" fillId="3" borderId="10" xfId="0" applyFont="1" applyFill="1" applyBorder="1" applyAlignment="1">
      <alignment horizontal="center" vertical="center" wrapText="1"/>
    </xf>
    <xf numFmtId="0" fontId="5" fillId="0" borderId="11" xfId="0" applyFont="1" applyBorder="1" applyAlignment="1">
      <alignment vertical="center"/>
    </xf>
    <xf numFmtId="0" fontId="4" fillId="0" borderId="12" xfId="0" applyFont="1" applyBorder="1" applyAlignment="1">
      <alignment horizontal="center" vertical="center" wrapText="1"/>
    </xf>
    <xf numFmtId="0" fontId="9" fillId="4" borderId="0" xfId="0" applyFont="1" applyFill="1"/>
    <xf numFmtId="0" fontId="10" fillId="4" borderId="1" xfId="0" applyFont="1" applyFill="1" applyBorder="1"/>
    <xf numFmtId="0" fontId="9" fillId="4" borderId="1" xfId="0" applyFont="1" applyFill="1" applyBorder="1"/>
    <xf numFmtId="0" fontId="11" fillId="4" borderId="0" xfId="0" applyFont="1" applyFill="1"/>
    <xf numFmtId="2" fontId="9" fillId="4" borderId="1" xfId="0" applyNumberFormat="1" applyFont="1" applyFill="1" applyBorder="1"/>
    <xf numFmtId="9" fontId="9" fillId="4" borderId="1" xfId="2" applyFont="1" applyFill="1" applyBorder="1"/>
    <xf numFmtId="2" fontId="10" fillId="4" borderId="1" xfId="0" applyNumberFormat="1" applyFont="1" applyFill="1" applyBorder="1"/>
    <xf numFmtId="9" fontId="10" fillId="4" borderId="1" xfId="2" applyFont="1" applyFill="1" applyBorder="1"/>
    <xf numFmtId="0" fontId="10" fillId="4" borderId="0" xfId="0" applyFont="1" applyFill="1"/>
    <xf numFmtId="2" fontId="9" fillId="4" borderId="1" xfId="0" applyNumberFormat="1" applyFont="1" applyFill="1" applyBorder="1" applyAlignment="1">
      <alignment horizontal="center"/>
    </xf>
    <xf numFmtId="2" fontId="10" fillId="4" borderId="1" xfId="0" applyNumberFormat="1" applyFont="1" applyFill="1" applyBorder="1" applyAlignment="1">
      <alignment horizontal="center"/>
    </xf>
    <xf numFmtId="2" fontId="10" fillId="4" borderId="1" xfId="0" applyNumberFormat="1" applyFont="1" applyFill="1" applyBorder="1" applyAlignment="1">
      <alignment horizontal="center" vertical="center"/>
    </xf>
    <xf numFmtId="9" fontId="9" fillId="4" borderId="1" xfId="2" applyFont="1" applyFill="1" applyBorder="1" applyAlignment="1">
      <alignment horizontal="right"/>
    </xf>
    <xf numFmtId="2" fontId="9" fillId="4" borderId="1" xfId="0" applyNumberFormat="1" applyFont="1" applyFill="1" applyBorder="1" applyAlignment="1">
      <alignment horizontal="center" vertical="center"/>
    </xf>
    <xf numFmtId="0" fontId="9" fillId="4" borderId="1" xfId="2" applyNumberFormat="1" applyFont="1" applyFill="1" applyBorder="1" applyAlignment="1">
      <alignment horizontal="right"/>
    </xf>
    <xf numFmtId="9" fontId="10" fillId="4" borderId="0" xfId="2" applyFont="1" applyFill="1"/>
    <xf numFmtId="2" fontId="9" fillId="4" borderId="0" xfId="0" applyNumberFormat="1" applyFont="1" applyFill="1"/>
    <xf numFmtId="2" fontId="9" fillId="4" borderId="1" xfId="0" applyNumberFormat="1" applyFont="1" applyFill="1" applyBorder="1" applyAlignment="1">
      <alignment horizontal="right" vertical="center"/>
    </xf>
    <xf numFmtId="9" fontId="9" fillId="4" borderId="1" xfId="2" applyFont="1" applyFill="1" applyBorder="1" applyAlignment="1">
      <alignment horizontal="right" vertical="center"/>
    </xf>
    <xf numFmtId="0" fontId="9" fillId="4" borderId="1" xfId="2" applyNumberFormat="1" applyFont="1" applyFill="1" applyBorder="1" applyAlignment="1">
      <alignment horizontal="right" vertical="center"/>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2" xfId="0" applyFont="1" applyFill="1" applyBorder="1"/>
    <xf numFmtId="2" fontId="9" fillId="4" borderId="2" xfId="0" applyNumberFormat="1" applyFont="1" applyFill="1" applyBorder="1" applyAlignment="1">
      <alignment horizontal="center"/>
    </xf>
    <xf numFmtId="2" fontId="10" fillId="4" borderId="2" xfId="0" applyNumberFormat="1" applyFont="1" applyFill="1" applyBorder="1" applyAlignment="1">
      <alignment horizontal="center"/>
    </xf>
    <xf numFmtId="0" fontId="9" fillId="4" borderId="2" xfId="0" applyFont="1" applyFill="1" applyBorder="1"/>
    <xf numFmtId="2" fontId="9" fillId="4" borderId="2" xfId="0" applyNumberFormat="1" applyFont="1" applyFill="1" applyBorder="1" applyAlignment="1">
      <alignment horizontal="center" vertical="center"/>
    </xf>
    <xf numFmtId="2" fontId="10" fillId="4" borderId="2" xfId="0" applyNumberFormat="1" applyFont="1" applyFill="1" applyBorder="1" applyAlignment="1">
      <alignment horizontal="center" vertical="center"/>
    </xf>
    <xf numFmtId="0" fontId="10" fillId="4" borderId="1" xfId="0" applyFont="1" applyFill="1" applyBorder="1" applyAlignment="1">
      <alignment horizontal="center" vertical="center"/>
    </xf>
    <xf numFmtId="9" fontId="9" fillId="4" borderId="1" xfId="0" applyNumberFormat="1" applyFont="1" applyFill="1" applyBorder="1"/>
    <xf numFmtId="9" fontId="10" fillId="4" borderId="1" xfId="0" applyNumberFormat="1" applyFont="1" applyFill="1" applyBorder="1"/>
    <xf numFmtId="0" fontId="12" fillId="4" borderId="0" xfId="0" applyFont="1" applyFill="1"/>
    <xf numFmtId="0" fontId="0" fillId="4" borderId="0" xfId="0" applyFill="1"/>
    <xf numFmtId="0" fontId="1" fillId="4" borderId="0" xfId="0" applyFont="1" applyFill="1"/>
    <xf numFmtId="0" fontId="1" fillId="4" borderId="1" xfId="0" applyFont="1" applyFill="1" applyBorder="1" applyAlignment="1">
      <alignment horizontal="left" vertical="center" wrapText="1"/>
    </xf>
    <xf numFmtId="0" fontId="1" fillId="4" borderId="1" xfId="0" applyFont="1" applyFill="1" applyBorder="1"/>
    <xf numFmtId="0" fontId="7" fillId="4" borderId="0" xfId="0" applyFont="1" applyFill="1"/>
    <xf numFmtId="0" fontId="0" fillId="4" borderId="1" xfId="0" applyFill="1" applyBorder="1"/>
    <xf numFmtId="2" fontId="0" fillId="4" borderId="1" xfId="0" applyNumberFormat="1" applyFill="1" applyBorder="1"/>
    <xf numFmtId="9" fontId="0" fillId="4" borderId="1" xfId="0" applyNumberFormat="1" applyFill="1" applyBorder="1"/>
    <xf numFmtId="2" fontId="1" fillId="4" borderId="1" xfId="0" applyNumberFormat="1" applyFont="1" applyFill="1" applyBorder="1"/>
    <xf numFmtId="9" fontId="1" fillId="4" borderId="1" xfId="0" applyNumberFormat="1" applyFont="1" applyFill="1" applyBorder="1"/>
    <xf numFmtId="2" fontId="0" fillId="4" borderId="0" xfId="0" applyNumberFormat="1" applyFill="1"/>
    <xf numFmtId="0" fontId="13" fillId="4" borderId="0" xfId="0" applyFont="1" applyFill="1"/>
    <xf numFmtId="9" fontId="1" fillId="4" borderId="0" xfId="2" applyFont="1" applyFill="1"/>
    <xf numFmtId="0" fontId="14" fillId="4" borderId="0" xfId="0" applyFont="1" applyFill="1"/>
    <xf numFmtId="0" fontId="10" fillId="4" borderId="1" xfId="0" applyFont="1" applyFill="1" applyBorder="1" applyAlignment="1">
      <alignment horizontal="center"/>
    </xf>
    <xf numFmtId="0" fontId="10" fillId="4" borderId="13" xfId="0" applyFont="1" applyFill="1" applyBorder="1"/>
    <xf numFmtId="0" fontId="10" fillId="4" borderId="14" xfId="0" applyFont="1" applyFill="1" applyBorder="1"/>
    <xf numFmtId="9" fontId="1" fillId="4" borderId="2" xfId="0" applyNumberFormat="1" applyFont="1" applyFill="1" applyBorder="1"/>
    <xf numFmtId="0" fontId="9" fillId="4" borderId="1" xfId="0" applyFont="1" applyFill="1" applyBorder="1" applyAlignment="1">
      <alignment horizontal="left" vertical="center"/>
    </xf>
    <xf numFmtId="0" fontId="9" fillId="4" borderId="1" xfId="0" applyFont="1" applyFill="1" applyBorder="1" applyAlignment="1">
      <alignment horizontal="center" vertical="center"/>
    </xf>
    <xf numFmtId="0" fontId="9" fillId="4" borderId="0" xfId="0" applyFont="1" applyFill="1" applyAlignment="1">
      <alignment horizontal="center" vertical="center"/>
    </xf>
    <xf numFmtId="0" fontId="8" fillId="4" borderId="0" xfId="0" applyFont="1" applyFill="1" applyAlignment="1">
      <alignment horizontal="center" vertical="center"/>
    </xf>
    <xf numFmtId="0" fontId="9" fillId="4" borderId="1" xfId="0" applyFont="1" applyFill="1" applyBorder="1" applyAlignment="1">
      <alignment vertical="center" wrapText="1"/>
    </xf>
    <xf numFmtId="0" fontId="8" fillId="4" borderId="0" xfId="0" applyFont="1" applyFill="1" applyAlignment="1">
      <alignment horizontal="left" vertical="center"/>
    </xf>
    <xf numFmtId="0" fontId="9" fillId="4" borderId="0" xfId="0" applyFont="1" applyFill="1" applyAlignment="1">
      <alignment horizontal="left" vertical="center"/>
    </xf>
    <xf numFmtId="0" fontId="10" fillId="4" borderId="1" xfId="0" applyFont="1" applyFill="1" applyBorder="1" applyAlignment="1">
      <alignment horizontal="left" vertical="center"/>
    </xf>
    <xf numFmtId="0" fontId="9" fillId="4" borderId="1" xfId="0" applyFont="1" applyFill="1" applyBorder="1" applyAlignment="1">
      <alignment horizontal="left" vertical="center" wrapText="1"/>
    </xf>
    <xf numFmtId="0" fontId="1" fillId="4" borderId="0" xfId="0" applyFont="1" applyFill="1" applyAlignment="1">
      <alignment horizontal="left" vertical="center"/>
    </xf>
    <xf numFmtId="0" fontId="9" fillId="4" borderId="0" xfId="0" applyFont="1" applyFill="1" applyAlignment="1">
      <alignment vertical="center" wrapText="1"/>
    </xf>
    <xf numFmtId="0" fontId="10" fillId="4" borderId="1" xfId="0" applyFont="1" applyFill="1" applyBorder="1" applyAlignment="1">
      <alignment vertical="center" wrapText="1"/>
    </xf>
    <xf numFmtId="0" fontId="17" fillId="4" borderId="0" xfId="0" applyFont="1" applyFill="1" applyAlignment="1">
      <alignment horizontal="left" vertical="center"/>
    </xf>
    <xf numFmtId="0" fontId="18" fillId="5" borderId="1" xfId="0" applyFont="1" applyFill="1" applyBorder="1" applyAlignment="1">
      <alignment horizontal="center" vertical="center"/>
    </xf>
    <xf numFmtId="0" fontId="18" fillId="5" borderId="1" xfId="0" applyFont="1" applyFill="1" applyBorder="1" applyAlignment="1">
      <alignment horizontal="left" vertical="center"/>
    </xf>
    <xf numFmtId="0" fontId="18" fillId="5" borderId="1" xfId="0" applyFont="1" applyFill="1" applyBorder="1"/>
    <xf numFmtId="0" fontId="9" fillId="6" borderId="1" xfId="0" applyFont="1" applyFill="1" applyBorder="1" applyAlignment="1">
      <alignment horizontal="center" vertical="center"/>
    </xf>
    <xf numFmtId="0" fontId="10" fillId="6" borderId="1" xfId="0" applyFont="1" applyFill="1" applyBorder="1" applyAlignment="1">
      <alignment horizontal="center" vertical="center"/>
    </xf>
    <xf numFmtId="0" fontId="9" fillId="6" borderId="1" xfId="0" applyFont="1" applyFill="1" applyBorder="1"/>
    <xf numFmtId="0" fontId="10" fillId="6" borderId="1" xfId="0" applyFont="1" applyFill="1" applyBorder="1"/>
    <xf numFmtId="0" fontId="10" fillId="7" borderId="1" xfId="0" applyFont="1" applyFill="1" applyBorder="1" applyAlignment="1">
      <alignment horizontal="center" vertical="center"/>
    </xf>
    <xf numFmtId="0" fontId="10" fillId="7" borderId="1" xfId="0" applyFont="1" applyFill="1" applyBorder="1" applyAlignment="1">
      <alignment horizontal="left" vertical="center"/>
    </xf>
    <xf numFmtId="2" fontId="10" fillId="7" borderId="1" xfId="0" applyNumberFormat="1" applyFont="1" applyFill="1" applyBorder="1"/>
    <xf numFmtId="9" fontId="10" fillId="7" borderId="1" xfId="2" applyFont="1" applyFill="1" applyBorder="1"/>
    <xf numFmtId="9" fontId="9" fillId="7" borderId="1" xfId="2" applyFont="1" applyFill="1" applyBorder="1"/>
    <xf numFmtId="2" fontId="10" fillId="7" borderId="1" xfId="0" applyNumberFormat="1" applyFont="1" applyFill="1" applyBorder="1" applyAlignment="1">
      <alignment horizontal="center" vertical="center"/>
    </xf>
    <xf numFmtId="0" fontId="9" fillId="7" borderId="1" xfId="0" applyFont="1" applyFill="1" applyBorder="1" applyAlignment="1">
      <alignment horizontal="center" vertical="center"/>
    </xf>
    <xf numFmtId="0" fontId="16" fillId="5" borderId="1" xfId="0" applyFont="1" applyFill="1" applyBorder="1" applyAlignment="1">
      <alignment horizontal="left" vertical="center"/>
    </xf>
    <xf numFmtId="0" fontId="16" fillId="5" borderId="1" xfId="0" applyFont="1" applyFill="1" applyBorder="1" applyAlignment="1">
      <alignment horizontal="left" vertical="center" wrapText="1"/>
    </xf>
    <xf numFmtId="2" fontId="0" fillId="4" borderId="1" xfId="0" applyNumberFormat="1" applyFill="1" applyBorder="1" applyAlignment="1">
      <alignment horizontal="right"/>
    </xf>
    <xf numFmtId="2" fontId="0" fillId="4" borderId="1" xfId="0" applyNumberFormat="1" applyFill="1" applyBorder="1" applyAlignment="1">
      <alignment horizontal="center"/>
    </xf>
    <xf numFmtId="0" fontId="1" fillId="6" borderId="1" xfId="0" applyFont="1" applyFill="1" applyBorder="1"/>
    <xf numFmtId="0" fontId="0" fillId="4" borderId="0" xfId="0" applyFill="1" applyAlignment="1">
      <alignment horizontal="left" vertical="center" wrapText="1"/>
    </xf>
    <xf numFmtId="0" fontId="0" fillId="4" borderId="0" xfId="0" applyFill="1" applyAlignment="1">
      <alignment horizontal="left" vertical="center"/>
    </xf>
    <xf numFmtId="0" fontId="7" fillId="4" borderId="1" xfId="0" applyFont="1" applyFill="1" applyBorder="1" applyAlignment="1">
      <alignment horizontal="left" vertical="center" wrapText="1"/>
    </xf>
    <xf numFmtId="0" fontId="7" fillId="4" borderId="0" xfId="0" applyFont="1" applyFill="1" applyAlignment="1">
      <alignment horizontal="left" vertical="center"/>
    </xf>
    <xf numFmtId="0" fontId="0" fillId="4" borderId="1" xfId="0" applyFill="1" applyBorder="1" applyAlignment="1">
      <alignment horizontal="left" vertical="center" wrapText="1"/>
    </xf>
    <xf numFmtId="0" fontId="1" fillId="4" borderId="0" xfId="0" applyFont="1" applyFill="1" applyAlignment="1">
      <alignment horizontal="left" vertical="center" wrapText="1"/>
    </xf>
    <xf numFmtId="0" fontId="1" fillId="4" borderId="1" xfId="0" applyFont="1" applyFill="1" applyBorder="1" applyAlignment="1">
      <alignment horizontal="center" vertical="center"/>
    </xf>
    <xf numFmtId="0" fontId="7" fillId="4" borderId="1" xfId="0" applyFont="1" applyFill="1" applyBorder="1" applyAlignment="1">
      <alignment horizontal="center" vertical="center"/>
    </xf>
    <xf numFmtId="0" fontId="0" fillId="4" borderId="1" xfId="0" applyFill="1" applyBorder="1" applyAlignment="1">
      <alignment horizontal="center" vertical="center"/>
    </xf>
    <xf numFmtId="0" fontId="0" fillId="4" borderId="0" xfId="0" applyFill="1" applyAlignment="1">
      <alignment horizontal="center" vertical="center"/>
    </xf>
    <xf numFmtId="0" fontId="16" fillId="5" borderId="1" xfId="0" applyFont="1" applyFill="1" applyBorder="1" applyAlignment="1">
      <alignment horizontal="center" vertical="center"/>
    </xf>
    <xf numFmtId="0" fontId="1" fillId="6" borderId="1" xfId="0" applyFont="1" applyFill="1" applyBorder="1" applyAlignment="1">
      <alignment horizontal="center" vertical="center"/>
    </xf>
    <xf numFmtId="0" fontId="19" fillId="4" borderId="0" xfId="0" applyFont="1" applyFill="1"/>
    <xf numFmtId="0" fontId="20" fillId="4" borderId="1" xfId="0" applyFont="1" applyFill="1" applyBorder="1" applyAlignment="1">
      <alignment horizontal="left" vertical="center" wrapText="1"/>
    </xf>
    <xf numFmtId="0" fontId="0" fillId="0" borderId="1" xfId="0" applyBorder="1" applyAlignment="1">
      <alignment horizontal="left" vertical="center" wrapText="1"/>
    </xf>
    <xf numFmtId="0" fontId="7" fillId="4" borderId="1" xfId="0" applyFont="1" applyFill="1" applyBorder="1"/>
    <xf numFmtId="9" fontId="9" fillId="4" borderId="0" xfId="2" applyFont="1" applyFill="1"/>
    <xf numFmtId="0" fontId="9" fillId="0" borderId="1" xfId="0" applyFont="1" applyBorder="1" applyAlignment="1">
      <alignment horizontal="left" vertical="center"/>
    </xf>
    <xf numFmtId="2" fontId="9" fillId="0" borderId="1" xfId="0" applyNumberFormat="1" applyFont="1" applyBorder="1"/>
    <xf numFmtId="9" fontId="9" fillId="0" borderId="1" xfId="2" applyFont="1" applyFill="1" applyBorder="1" applyAlignment="1">
      <alignment horizontal="right" vertical="center"/>
    </xf>
    <xf numFmtId="9" fontId="21" fillId="8" borderId="1" xfId="0" applyNumberFormat="1" applyFont="1" applyFill="1" applyBorder="1"/>
    <xf numFmtId="0" fontId="0" fillId="0" borderId="0" xfId="0" applyAlignment="1">
      <alignment horizontal="center" vertical="center"/>
    </xf>
    <xf numFmtId="0" fontId="16"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9" fontId="9" fillId="0" borderId="1" xfId="2" applyFont="1" applyFill="1" applyBorder="1"/>
    <xf numFmtId="2" fontId="10" fillId="4" borderId="4" xfId="0" applyNumberFormat="1" applyFont="1" applyFill="1" applyBorder="1" applyAlignment="1">
      <alignment horizontal="center"/>
    </xf>
    <xf numFmtId="0" fontId="18" fillId="5" borderId="1" xfId="0" applyFont="1" applyFill="1" applyBorder="1" applyAlignment="1">
      <alignment horizontal="center" vertical="top" wrapText="1"/>
    </xf>
    <xf numFmtId="0" fontId="9" fillId="0" borderId="1" xfId="0" applyFont="1" applyBorder="1" applyAlignment="1">
      <alignment horizontal="center" vertical="center"/>
    </xf>
    <xf numFmtId="0" fontId="9" fillId="0" borderId="0" xfId="0" applyFont="1"/>
    <xf numFmtId="0" fontId="9" fillId="0" borderId="1" xfId="0" applyFont="1" applyBorder="1"/>
    <xf numFmtId="0" fontId="22" fillId="5" borderId="1" xfId="0" applyFont="1" applyFill="1" applyBorder="1" applyAlignment="1">
      <alignment horizontal="center" vertical="center"/>
    </xf>
    <xf numFmtId="0" fontId="22" fillId="5" borderId="1" xfId="0" applyFont="1" applyFill="1" applyBorder="1" applyAlignment="1">
      <alignment vertical="center" wrapText="1"/>
    </xf>
    <xf numFmtId="0" fontId="23" fillId="6" borderId="1" xfId="0" applyFont="1" applyFill="1" applyBorder="1" applyAlignment="1">
      <alignment horizontal="center" vertical="center"/>
    </xf>
    <xf numFmtId="0" fontId="24" fillId="4" borderId="1" xfId="0" applyFont="1" applyFill="1" applyBorder="1" applyAlignment="1">
      <alignment horizontal="center" vertical="center"/>
    </xf>
    <xf numFmtId="0" fontId="24" fillId="4" borderId="1" xfId="0" applyFont="1" applyFill="1" applyBorder="1" applyAlignment="1">
      <alignment vertical="center" wrapText="1"/>
    </xf>
    <xf numFmtId="0" fontId="24" fillId="4" borderId="1" xfId="0" applyFont="1" applyFill="1" applyBorder="1" applyAlignment="1">
      <alignment horizontal="left" vertical="center"/>
    </xf>
    <xf numFmtId="0" fontId="24" fillId="4" borderId="1" xfId="0" applyFont="1" applyFill="1" applyBorder="1" applyAlignment="1">
      <alignment horizontal="left" vertical="center" wrapText="1"/>
    </xf>
    <xf numFmtId="0" fontId="23" fillId="4" borderId="1" xfId="0" applyFont="1" applyFill="1" applyBorder="1" applyAlignment="1">
      <alignment horizontal="center" vertical="center"/>
    </xf>
    <xf numFmtId="0" fontId="23" fillId="4" borderId="1" xfId="0" applyFont="1" applyFill="1" applyBorder="1" applyAlignment="1">
      <alignment vertical="center" wrapText="1"/>
    </xf>
    <xf numFmtId="0" fontId="23" fillId="4" borderId="1" xfId="0" applyFont="1" applyFill="1" applyBorder="1" applyAlignment="1">
      <alignment horizontal="left" vertical="center"/>
    </xf>
    <xf numFmtId="0" fontId="25" fillId="4" borderId="1" xfId="0" applyFont="1" applyFill="1" applyBorder="1" applyAlignment="1">
      <alignment horizontal="center" vertical="center"/>
    </xf>
    <xf numFmtId="0" fontId="1" fillId="6" borderId="3" xfId="0" applyFont="1" applyFill="1" applyBorder="1"/>
    <xf numFmtId="0" fontId="0" fillId="4" borderId="1" xfId="0" applyFill="1" applyBorder="1" applyAlignment="1">
      <alignment wrapText="1"/>
    </xf>
    <xf numFmtId="0" fontId="0" fillId="4" borderId="1" xfId="0" applyFill="1" applyBorder="1" applyAlignment="1">
      <alignment horizontal="left" vertical="center"/>
    </xf>
    <xf numFmtId="0" fontId="1" fillId="6" borderId="2" xfId="0" applyFont="1" applyFill="1" applyBorder="1" applyAlignment="1">
      <alignment horizontal="left" vertical="center"/>
    </xf>
    <xf numFmtId="0" fontId="0" fillId="0" borderId="0" xfId="0" applyAlignment="1">
      <alignment horizontal="left" vertical="center"/>
    </xf>
    <xf numFmtId="0" fontId="24" fillId="0" borderId="1" xfId="0" applyFont="1" applyBorder="1" applyAlignment="1">
      <alignment vertical="center" wrapText="1"/>
    </xf>
    <xf numFmtId="0" fontId="24" fillId="0" borderId="1" xfId="0" applyFont="1" applyBorder="1" applyAlignment="1">
      <alignment horizontal="center" vertical="center"/>
    </xf>
    <xf numFmtId="2" fontId="24" fillId="0" borderId="1" xfId="0" applyNumberFormat="1" applyFont="1" applyBorder="1" applyAlignment="1">
      <alignment horizontal="center" vertical="center"/>
    </xf>
    <xf numFmtId="0" fontId="23" fillId="0" borderId="1" xfId="0" applyFont="1" applyBorder="1" applyAlignment="1">
      <alignment horizontal="center" vertical="center"/>
    </xf>
    <xf numFmtId="0" fontId="23" fillId="0" borderId="1" xfId="0" applyFont="1" applyBorder="1" applyAlignment="1">
      <alignment vertical="center" wrapText="1"/>
    </xf>
    <xf numFmtId="0" fontId="0" fillId="0" borderId="1" xfId="0" applyBorder="1" applyAlignment="1">
      <alignment horizontal="left"/>
    </xf>
    <xf numFmtId="0" fontId="16" fillId="9" borderId="1" xfId="0" applyFont="1" applyFill="1" applyBorder="1" applyAlignment="1">
      <alignment horizontal="center"/>
    </xf>
    <xf numFmtId="0" fontId="0" fillId="0" borderId="0" xfId="0" applyAlignment="1">
      <alignment horizontal="left"/>
    </xf>
    <xf numFmtId="9" fontId="0" fillId="0" borderId="0" xfId="0" applyNumberFormat="1"/>
    <xf numFmtId="0" fontId="1" fillId="0" borderId="18" xfId="0" applyFont="1" applyBorder="1" applyAlignment="1">
      <alignment horizontal="center" vertical="center"/>
    </xf>
    <xf numFmtId="17" fontId="1" fillId="0" borderId="19" xfId="0" applyNumberFormat="1" applyFont="1" applyBorder="1" applyAlignment="1">
      <alignment horizontal="center" vertical="center" wrapText="1"/>
    </xf>
    <xf numFmtId="0" fontId="1" fillId="0" borderId="20" xfId="0" applyFont="1" applyBorder="1" applyAlignment="1">
      <alignment horizontal="center" vertical="center" wrapText="1"/>
    </xf>
    <xf numFmtId="0" fontId="0" fillId="0" borderId="21" xfId="0" applyBorder="1"/>
    <xf numFmtId="0" fontId="4" fillId="0" borderId="4" xfId="0" applyFont="1" applyBorder="1" applyAlignment="1">
      <alignment vertical="center" wrapText="1"/>
    </xf>
    <xf numFmtId="44" fontId="4" fillId="0" borderId="1" xfId="3" applyFont="1" applyBorder="1" applyAlignment="1">
      <alignment horizontal="right" vertical="center" wrapText="1"/>
    </xf>
    <xf numFmtId="44" fontId="0" fillId="0" borderId="1" xfId="3" applyFont="1" applyBorder="1"/>
    <xf numFmtId="44" fontId="0" fillId="0" borderId="2" xfId="3" applyFont="1" applyBorder="1"/>
    <xf numFmtId="9" fontId="0" fillId="0" borderId="0" xfId="2" applyFont="1"/>
    <xf numFmtId="0" fontId="5" fillId="2" borderId="1" xfId="0" applyFont="1" applyFill="1" applyBorder="1" applyAlignment="1">
      <alignment vertical="center" wrapText="1"/>
    </xf>
    <xf numFmtId="44" fontId="0" fillId="0" borderId="22" xfId="3" applyFont="1" applyFill="1" applyBorder="1"/>
    <xf numFmtId="0" fontId="5" fillId="2" borderId="23" xfId="0" applyFont="1" applyFill="1" applyBorder="1" applyAlignment="1">
      <alignment vertical="center" wrapText="1"/>
    </xf>
    <xf numFmtId="44" fontId="5" fillId="2" borderId="24" xfId="3" applyFont="1" applyFill="1" applyBorder="1" applyAlignment="1">
      <alignment horizontal="right" vertical="center" wrapText="1"/>
    </xf>
    <xf numFmtId="44" fontId="5" fillId="2" borderId="24" xfId="3" applyFont="1" applyFill="1" applyBorder="1" applyAlignment="1">
      <alignment vertical="center" wrapText="1"/>
    </xf>
    <xf numFmtId="44" fontId="5" fillId="2" borderId="25" xfId="3" applyFont="1" applyFill="1" applyBorder="1" applyAlignment="1">
      <alignment vertical="center" wrapText="1"/>
    </xf>
    <xf numFmtId="0" fontId="10" fillId="0" borderId="18" xfId="0" applyFont="1" applyBorder="1"/>
    <xf numFmtId="0" fontId="10" fillId="0" borderId="19" xfId="0" applyFont="1" applyBorder="1"/>
    <xf numFmtId="0" fontId="10" fillId="0" borderId="20" xfId="0" applyFont="1" applyBorder="1"/>
    <xf numFmtId="0" fontId="5" fillId="10" borderId="4" xfId="0" applyFont="1" applyFill="1" applyBorder="1" applyAlignment="1">
      <alignment wrapText="1"/>
    </xf>
    <xf numFmtId="0" fontId="4" fillId="3" borderId="1" xfId="0" applyFont="1" applyFill="1" applyBorder="1" applyAlignment="1">
      <alignment wrapText="1"/>
    </xf>
    <xf numFmtId="0" fontId="9" fillId="0" borderId="2" xfId="0" applyFont="1" applyBorder="1"/>
    <xf numFmtId="0" fontId="5" fillId="10" borderId="4" xfId="0" applyFont="1" applyFill="1" applyBorder="1"/>
    <xf numFmtId="0" fontId="4" fillId="0" borderId="1" xfId="0" applyFont="1" applyBorder="1" applyAlignment="1">
      <alignment wrapText="1"/>
    </xf>
    <xf numFmtId="0" fontId="10" fillId="10" borderId="4" xfId="0" applyFont="1" applyFill="1" applyBorder="1"/>
    <xf numFmtId="0" fontId="10" fillId="10" borderId="23" xfId="0" applyFont="1" applyFill="1" applyBorder="1"/>
    <xf numFmtId="0" fontId="9" fillId="0" borderId="24" xfId="0" applyFont="1" applyBorder="1"/>
    <xf numFmtId="0" fontId="9" fillId="0" borderId="25" xfId="0" applyFont="1" applyBorder="1"/>
    <xf numFmtId="44" fontId="0" fillId="11" borderId="1" xfId="3" applyFont="1" applyFill="1" applyBorder="1"/>
    <xf numFmtId="0" fontId="4" fillId="11" borderId="1" xfId="0" applyFont="1" applyFill="1" applyBorder="1" applyAlignment="1">
      <alignment vertical="center" wrapText="1"/>
    </xf>
    <xf numFmtId="0" fontId="4" fillId="0" borderId="1" xfId="0" applyFont="1" applyBorder="1" applyAlignment="1">
      <alignment vertical="center" wrapText="1"/>
    </xf>
    <xf numFmtId="0" fontId="16" fillId="9" borderId="1" xfId="0" applyFont="1" applyFill="1" applyBorder="1" applyAlignment="1">
      <alignment horizontal="center" wrapText="1"/>
    </xf>
    <xf numFmtId="44" fontId="5" fillId="2" borderId="1" xfId="3" applyFont="1" applyFill="1" applyBorder="1" applyAlignment="1">
      <alignment vertical="center" wrapText="1"/>
    </xf>
    <xf numFmtId="14" fontId="0" fillId="0" borderId="1" xfId="0" applyNumberFormat="1" applyBorder="1"/>
    <xf numFmtId="9" fontId="0" fillId="0" borderId="1" xfId="2" applyFont="1" applyBorder="1"/>
    <xf numFmtId="9" fontId="0" fillId="0" borderId="1" xfId="0" applyNumberFormat="1" applyBorder="1"/>
    <xf numFmtId="0" fontId="0" fillId="0" borderId="1" xfId="0" applyBorder="1" applyAlignment="1">
      <alignment horizontal="right"/>
    </xf>
    <xf numFmtId="0" fontId="23" fillId="6" borderId="2" xfId="0" applyFont="1" applyFill="1" applyBorder="1" applyAlignment="1">
      <alignment vertical="center" wrapText="1"/>
    </xf>
    <xf numFmtId="0" fontId="23" fillId="6" borderId="4" xfId="0" applyFont="1" applyFill="1" applyBorder="1" applyAlignment="1">
      <alignment vertical="center" wrapText="1"/>
    </xf>
    <xf numFmtId="0" fontId="26" fillId="4" borderId="1" xfId="0" applyFont="1" applyFill="1" applyBorder="1"/>
    <xf numFmtId="0" fontId="27" fillId="4" borderId="1" xfId="0" applyFont="1" applyFill="1" applyBorder="1"/>
    <xf numFmtId="0" fontId="25" fillId="0" borderId="1" xfId="0" applyFont="1" applyBorder="1" applyAlignment="1">
      <alignment vertical="center" wrapText="1"/>
    </xf>
    <xf numFmtId="0" fontId="26" fillId="0" borderId="1" xfId="0" applyFont="1" applyBorder="1"/>
    <xf numFmtId="0" fontId="25" fillId="0" borderId="1" xfId="0" applyFont="1" applyBorder="1" applyAlignment="1">
      <alignment horizontal="left" vertical="center" wrapText="1"/>
    </xf>
    <xf numFmtId="0" fontId="26" fillId="0" borderId="1" xfId="0" applyFont="1" applyBorder="1" applyAlignment="1">
      <alignment wrapText="1"/>
    </xf>
    <xf numFmtId="0" fontId="1" fillId="6" borderId="3" xfId="0" applyFont="1" applyFill="1" applyBorder="1" applyAlignment="1">
      <alignment wrapText="1"/>
    </xf>
    <xf numFmtId="0" fontId="0" fillId="6" borderId="0" xfId="0" applyFill="1"/>
    <xf numFmtId="9" fontId="9" fillId="0" borderId="1" xfId="2" applyFont="1" applyFill="1" applyBorder="1" applyAlignment="1">
      <alignment horizontal="left" vertical="center" wrapText="1"/>
    </xf>
    <xf numFmtId="9" fontId="26" fillId="0" borderId="1" xfId="2" applyFont="1" applyFill="1" applyBorder="1" applyAlignment="1">
      <alignment horizontal="left" vertical="center" wrapText="1"/>
    </xf>
    <xf numFmtId="9" fontId="9" fillId="0" borderId="1" xfId="2" applyFont="1" applyFill="1" applyBorder="1" applyAlignment="1">
      <alignment horizontal="left" vertical="top" wrapText="1"/>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6" fillId="0" borderId="1" xfId="0" applyFont="1" applyBorder="1" applyAlignment="1">
      <alignment vertical="top"/>
    </xf>
    <xf numFmtId="0" fontId="24" fillId="0" borderId="1" xfId="0" applyFont="1" applyBorder="1" applyAlignment="1">
      <alignment vertical="top" wrapText="1"/>
    </xf>
    <xf numFmtId="0" fontId="24" fillId="0" borderId="1" xfId="0" applyFont="1" applyBorder="1" applyAlignment="1">
      <alignment horizontal="left" vertical="top" wrapText="1"/>
    </xf>
    <xf numFmtId="0" fontId="9" fillId="0" borderId="1" xfId="0" applyFont="1" applyBorder="1" applyAlignment="1">
      <alignment horizontal="left" vertical="center" wrapText="1"/>
    </xf>
    <xf numFmtId="0" fontId="10" fillId="6" borderId="2" xfId="0" applyFont="1" applyFill="1" applyBorder="1" applyAlignment="1">
      <alignment vertical="center"/>
    </xf>
    <xf numFmtId="0" fontId="10" fillId="6" borderId="3" xfId="0" applyFont="1" applyFill="1" applyBorder="1" applyAlignment="1">
      <alignment vertical="center"/>
    </xf>
    <xf numFmtId="0" fontId="10" fillId="6" borderId="4" xfId="0" applyFont="1" applyFill="1" applyBorder="1" applyAlignment="1">
      <alignment vertical="center"/>
    </xf>
    <xf numFmtId="2" fontId="10" fillId="4" borderId="2" xfId="0" applyNumberFormat="1" applyFont="1" applyFill="1" applyBorder="1"/>
    <xf numFmtId="2" fontId="10" fillId="4" borderId="3" xfId="0" applyNumberFormat="1" applyFont="1" applyFill="1" applyBorder="1"/>
    <xf numFmtId="2" fontId="10" fillId="4" borderId="4" xfId="0" applyNumberFormat="1" applyFont="1" applyFill="1" applyBorder="1"/>
    <xf numFmtId="0" fontId="11" fillId="0" borderId="0" xfId="0" applyFont="1"/>
    <xf numFmtId="9" fontId="9" fillId="0" borderId="1" xfId="2" applyFont="1" applyFill="1" applyBorder="1" applyAlignment="1">
      <alignment horizontal="left" vertical="center"/>
    </xf>
    <xf numFmtId="0" fontId="26" fillId="0" borderId="1" xfId="0" applyFont="1" applyBorder="1" applyAlignment="1">
      <alignment vertical="center" wrapText="1"/>
    </xf>
    <xf numFmtId="0" fontId="26" fillId="0" borderId="1" xfId="0" applyFont="1" applyBorder="1" applyAlignment="1">
      <alignment vertical="top" wrapText="1"/>
    </xf>
    <xf numFmtId="0" fontId="25" fillId="0" borderId="1" xfId="0" applyFont="1" applyBorder="1" applyAlignment="1">
      <alignment horizontal="center" vertical="center"/>
    </xf>
    <xf numFmtId="9" fontId="26" fillId="0" borderId="1" xfId="2" applyFont="1" applyFill="1" applyBorder="1" applyAlignment="1">
      <alignment horizontal="left" vertical="center"/>
    </xf>
    <xf numFmtId="0" fontId="23" fillId="0" borderId="1" xfId="0" applyFont="1" applyBorder="1" applyAlignment="1">
      <alignment horizontal="left" vertical="center"/>
    </xf>
    <xf numFmtId="0" fontId="27" fillId="0" borderId="1" xfId="0" applyFont="1" applyBorder="1"/>
    <xf numFmtId="0" fontId="10" fillId="0" borderId="0" xfId="0" applyFont="1"/>
    <xf numFmtId="9" fontId="9" fillId="0" borderId="13" xfId="2" applyFont="1" applyFill="1" applyBorder="1"/>
    <xf numFmtId="165" fontId="9" fillId="0" borderId="0" xfId="0" applyNumberFormat="1" applyFont="1"/>
    <xf numFmtId="165" fontId="9" fillId="0" borderId="14" xfId="0" applyNumberFormat="1" applyFont="1" applyBorder="1"/>
    <xf numFmtId="9" fontId="9" fillId="0" borderId="13" xfId="2" applyFont="1" applyFill="1" applyBorder="1" applyAlignment="1">
      <alignment horizontal="right"/>
    </xf>
    <xf numFmtId="0" fontId="10" fillId="0" borderId="16" xfId="0" applyFont="1" applyBorder="1"/>
    <xf numFmtId="9" fontId="10" fillId="0" borderId="17" xfId="0" applyNumberFormat="1" applyFont="1" applyBorder="1"/>
    <xf numFmtId="165" fontId="10" fillId="0" borderId="16" xfId="0" applyNumberFormat="1" applyFont="1" applyBorder="1"/>
    <xf numFmtId="165" fontId="10" fillId="0" borderId="15" xfId="0" applyNumberFormat="1" applyFont="1" applyBorder="1"/>
    <xf numFmtId="9" fontId="10" fillId="0" borderId="0" xfId="0" applyNumberFormat="1" applyFont="1"/>
    <xf numFmtId="2" fontId="10" fillId="0" borderId="0" xfId="0" applyNumberFormat="1" applyFont="1"/>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vertical="top" wrapText="1"/>
    </xf>
    <xf numFmtId="0" fontId="0" fillId="0" borderId="1" xfId="0" applyBorder="1" applyAlignment="1">
      <alignment wrapText="1"/>
    </xf>
    <xf numFmtId="0" fontId="0" fillId="0" borderId="0" xfId="0" applyAlignment="1">
      <alignment vertical="top" wrapText="1"/>
    </xf>
    <xf numFmtId="0" fontId="0" fillId="0" borderId="0" xfId="0" applyAlignment="1">
      <alignment wrapText="1"/>
    </xf>
    <xf numFmtId="0" fontId="9" fillId="12" borderId="0" xfId="0" applyFont="1" applyFill="1"/>
    <xf numFmtId="0" fontId="24" fillId="12" borderId="1" xfId="0" applyFont="1" applyFill="1" applyBorder="1" applyAlignment="1">
      <alignment horizontal="center" vertical="center"/>
    </xf>
    <xf numFmtId="0" fontId="24" fillId="12" borderId="1" xfId="0" applyFont="1" applyFill="1" applyBorder="1" applyAlignment="1">
      <alignment vertical="center" wrapText="1"/>
    </xf>
    <xf numFmtId="0" fontId="26" fillId="12" borderId="1" xfId="0" applyFont="1" applyFill="1" applyBorder="1"/>
    <xf numFmtId="0" fontId="11" fillId="12" borderId="0" xfId="0" applyFont="1" applyFill="1"/>
    <xf numFmtId="9" fontId="9" fillId="0" borderId="0" xfId="0" applyNumberFormat="1" applyFont="1"/>
    <xf numFmtId="9" fontId="11" fillId="0" borderId="0" xfId="0" applyNumberFormat="1" applyFont="1"/>
    <xf numFmtId="9" fontId="9" fillId="4" borderId="0" xfId="0" applyNumberFormat="1" applyFont="1" applyFill="1"/>
    <xf numFmtId="0" fontId="9" fillId="12" borderId="1" xfId="0" applyFont="1" applyFill="1" applyBorder="1" applyAlignment="1">
      <alignment horizontal="left" vertical="center" wrapText="1"/>
    </xf>
    <xf numFmtId="0" fontId="24" fillId="12" borderId="1" xfId="0" applyFont="1" applyFill="1" applyBorder="1" applyAlignment="1">
      <alignment horizontal="left" vertical="center"/>
    </xf>
    <xf numFmtId="0" fontId="25" fillId="12" borderId="1" xfId="0" applyFont="1" applyFill="1" applyBorder="1" applyAlignment="1">
      <alignment horizontal="center" vertical="center"/>
    </xf>
    <xf numFmtId="0" fontId="25" fillId="12" borderId="1" xfId="0" applyFont="1" applyFill="1" applyBorder="1" applyAlignment="1">
      <alignment horizontal="left" vertical="center" wrapText="1"/>
    </xf>
    <xf numFmtId="0" fontId="26" fillId="12" borderId="1" xfId="0" applyFont="1" applyFill="1" applyBorder="1" applyAlignment="1">
      <alignment wrapText="1"/>
    </xf>
    <xf numFmtId="9" fontId="0" fillId="4" borderId="0" xfId="0" applyNumberFormat="1" applyFill="1"/>
    <xf numFmtId="0" fontId="1" fillId="6" borderId="2" xfId="0" applyFont="1" applyFill="1" applyBorder="1"/>
    <xf numFmtId="0" fontId="1" fillId="6" borderId="4" xfId="0" applyFont="1" applyFill="1" applyBorder="1"/>
    <xf numFmtId="9" fontId="7" fillId="4" borderId="0" xfId="0" applyNumberFormat="1" applyFont="1" applyFill="1"/>
    <xf numFmtId="0" fontId="8" fillId="4" borderId="13" xfId="0" applyFont="1" applyFill="1" applyBorder="1" applyAlignment="1">
      <alignment horizontal="center"/>
    </xf>
    <xf numFmtId="0" fontId="8" fillId="4" borderId="0" xfId="0" applyFont="1" applyFill="1" applyAlignment="1">
      <alignment horizontal="center"/>
    </xf>
    <xf numFmtId="0" fontId="8" fillId="4" borderId="14" xfId="0" applyFont="1" applyFill="1" applyBorder="1" applyAlignment="1">
      <alignment horizontal="center"/>
    </xf>
    <xf numFmtId="0" fontId="23" fillId="6" borderId="2" xfId="0" applyFont="1" applyFill="1" applyBorder="1" applyAlignment="1">
      <alignment horizontal="left" vertical="center" wrapText="1"/>
    </xf>
    <xf numFmtId="0" fontId="23" fillId="6" borderId="4" xfId="0" applyFont="1" applyFill="1" applyBorder="1" applyAlignment="1">
      <alignment horizontal="left" vertical="center" wrapText="1"/>
    </xf>
    <xf numFmtId="0" fontId="12" fillId="4" borderId="0" xfId="0" applyFont="1" applyFill="1" applyAlignment="1">
      <alignment horizontal="left" vertical="center" wrapText="1"/>
    </xf>
    <xf numFmtId="0" fontId="9" fillId="0" borderId="1" xfId="0" applyFont="1" applyBorder="1" applyAlignment="1">
      <alignment horizontal="left" vertical="center" wrapText="1"/>
    </xf>
    <xf numFmtId="0" fontId="22" fillId="5" borderId="26" xfId="0" applyFont="1" applyFill="1" applyBorder="1" applyAlignment="1">
      <alignment horizontal="center" vertical="center"/>
    </xf>
    <xf numFmtId="0" fontId="22" fillId="5" borderId="0" xfId="0" applyFont="1" applyFill="1" applyAlignment="1">
      <alignment horizontal="center" vertical="center"/>
    </xf>
    <xf numFmtId="0" fontId="13" fillId="4" borderId="0" xfId="0" applyFont="1" applyFill="1" applyAlignment="1">
      <alignment horizontal="left" vertical="center"/>
    </xf>
    <xf numFmtId="0" fontId="1" fillId="6" borderId="2" xfId="0" applyFont="1" applyFill="1" applyBorder="1" applyAlignment="1">
      <alignment horizontal="left" vertical="center" wrapText="1"/>
    </xf>
    <xf numFmtId="0" fontId="1" fillId="6" borderId="4" xfId="0" applyFont="1" applyFill="1" applyBorder="1" applyAlignment="1">
      <alignment horizontal="left" vertical="center" wrapText="1"/>
    </xf>
    <xf numFmtId="0" fontId="1" fillId="6" borderId="2" xfId="0" applyFont="1" applyFill="1" applyBorder="1" applyAlignment="1">
      <alignment horizontal="center" vertical="center" wrapText="1"/>
    </xf>
    <xf numFmtId="0" fontId="1" fillId="6" borderId="4" xfId="0" applyFont="1" applyFill="1" applyBorder="1" applyAlignment="1">
      <alignment horizontal="center" vertical="center" wrapText="1"/>
    </xf>
    <xf numFmtId="2" fontId="10" fillId="4" borderId="1" xfId="0" applyNumberFormat="1" applyFont="1" applyFill="1" applyBorder="1" applyAlignment="1">
      <alignment horizontal="center"/>
    </xf>
    <xf numFmtId="0" fontId="10" fillId="4" borderId="1" xfId="0" applyFont="1" applyFill="1" applyBorder="1" applyAlignment="1">
      <alignment horizontal="center"/>
    </xf>
    <xf numFmtId="0" fontId="9" fillId="4" borderId="2" xfId="0" applyFont="1" applyFill="1" applyBorder="1" applyAlignment="1">
      <alignment horizontal="center"/>
    </xf>
    <xf numFmtId="0" fontId="9" fillId="4" borderId="3" xfId="0" applyFont="1" applyFill="1" applyBorder="1" applyAlignment="1">
      <alignment horizontal="center"/>
    </xf>
    <xf numFmtId="0" fontId="9" fillId="4" borderId="2" xfId="0" applyFont="1" applyFill="1" applyBorder="1" applyAlignment="1">
      <alignment horizontal="left"/>
    </xf>
    <xf numFmtId="0" fontId="9" fillId="4" borderId="3" xfId="0" applyFont="1" applyFill="1" applyBorder="1" applyAlignment="1">
      <alignment horizontal="left"/>
    </xf>
    <xf numFmtId="2" fontId="9" fillId="4" borderId="2" xfId="0" applyNumberFormat="1" applyFont="1" applyFill="1" applyBorder="1" applyAlignment="1">
      <alignment horizontal="center"/>
    </xf>
    <xf numFmtId="2" fontId="9" fillId="4" borderId="3" xfId="0" applyNumberFormat="1" applyFont="1" applyFill="1" applyBorder="1" applyAlignment="1">
      <alignment horizontal="center"/>
    </xf>
    <xf numFmtId="2" fontId="10" fillId="4" borderId="2" xfId="0" applyNumberFormat="1" applyFont="1" applyFill="1" applyBorder="1" applyAlignment="1">
      <alignment horizontal="center"/>
    </xf>
    <xf numFmtId="2" fontId="10" fillId="4" borderId="3" xfId="0" applyNumberFormat="1" applyFont="1" applyFill="1" applyBorder="1" applyAlignment="1">
      <alignment horizontal="center"/>
    </xf>
    <xf numFmtId="2" fontId="1" fillId="0" borderId="2" xfId="0" applyNumberFormat="1" applyFont="1" applyBorder="1" applyAlignment="1">
      <alignment horizontal="center"/>
    </xf>
    <xf numFmtId="2" fontId="1" fillId="0" borderId="4" xfId="0" applyNumberFormat="1" applyFont="1" applyBorder="1" applyAlignment="1">
      <alignment horizontal="center"/>
    </xf>
    <xf numFmtId="2" fontId="1" fillId="4" borderId="2" xfId="0" applyNumberFormat="1" applyFont="1" applyFill="1" applyBorder="1" applyAlignment="1">
      <alignment horizontal="center"/>
    </xf>
    <xf numFmtId="2" fontId="1" fillId="4" borderId="4" xfId="0" applyNumberFormat="1" applyFont="1" applyFill="1" applyBorder="1" applyAlignment="1">
      <alignment horizontal="center"/>
    </xf>
    <xf numFmtId="2" fontId="9" fillId="4" borderId="4" xfId="0" applyNumberFormat="1" applyFont="1" applyFill="1" applyBorder="1" applyAlignment="1">
      <alignment horizontal="center"/>
    </xf>
    <xf numFmtId="2" fontId="10" fillId="4" borderId="4" xfId="0" applyNumberFormat="1" applyFont="1" applyFill="1" applyBorder="1" applyAlignment="1">
      <alignment horizontal="center"/>
    </xf>
    <xf numFmtId="0" fontId="3" fillId="0" borderId="0" xfId="0" applyFont="1" applyAlignment="1">
      <alignment horizontal="center"/>
    </xf>
  </cellXfs>
  <cellStyles count="4">
    <cellStyle name="Currency" xfId="3" builtinId="4"/>
    <cellStyle name="Normal" xfId="0" builtinId="0"/>
    <cellStyle name="Normal 3" xfId="1" xr:uid="{00000000-0005-0000-0000-000002000000}"/>
    <cellStyle name="Percent" xfId="2" builtinId="5"/>
  </cellStyles>
  <dxfs count="12">
    <dxf>
      <font>
        <b val="0"/>
        <i val="0"/>
        <strike val="0"/>
        <condense val="0"/>
        <extend val="0"/>
        <outline val="0"/>
        <shadow val="0"/>
        <u val="none"/>
        <vertAlign val="baseline"/>
        <sz val="11"/>
        <color theme="1"/>
        <name val="Arial"/>
        <scheme val="none"/>
      </font>
      <alignment horizontal="general" vertical="bottom" textRotation="0" wrapText="0" indent="0" justifyLastLine="0" shrinkToFit="0" readingOrder="0"/>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rial"/>
        <scheme val="none"/>
      </font>
      <border diagonalUp="0" diagonalDown="0" outline="0">
        <left style="thin">
          <color indexed="64"/>
        </left>
        <right style="thin">
          <color indexed="64"/>
        </right>
        <top/>
        <bottom/>
      </border>
    </dxf>
    <dxf>
      <numFmt numFmtId="13" formatCode="0%"/>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b="1" baseline="0">
                <a:solidFill>
                  <a:sysClr val="windowText" lastClr="000000"/>
                </a:solidFill>
              </a:rPr>
              <a:t>EXPENSE INCURED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'[1]CA Certificate'!$F$2</c:f>
              <c:strCache>
                <c:ptCount val="1"/>
                <c:pt idx="0">
                  <c:v>Expense Incured in September (in crores)</c:v>
                </c:pt>
              </c:strCache>
            </c:strRef>
          </c:tx>
          <c:spPr>
            <a:solidFill>
              <a:schemeClr val="accent1"/>
            </a:solidFill>
            <a:ln>
              <a:noFill/>
            </a:ln>
            <a:effectLst/>
          </c:spPr>
          <c:invertIfNegative val="0"/>
          <c:cat>
            <c:strRef>
              <c:f>'[1]CA Certificate'!$E$3:$E$9</c:f>
              <c:strCache>
                <c:ptCount val="7"/>
                <c:pt idx="0">
                  <c:v>Land and site Development</c:v>
                </c:pt>
                <c:pt idx="1">
                  <c:v>Plant and Machinery/ Building &amp; Civil Structures/ Miscellaneous Fixed assests</c:v>
                </c:pt>
                <c:pt idx="2">
                  <c:v>Pre-operative Expenses/ Engineering and Knowhow/ Training &amp; Foreign Technician Expenses </c:v>
                </c:pt>
                <c:pt idx="3">
                  <c:v>Interest during construction Period</c:v>
                </c:pt>
                <c:pt idx="4">
                  <c:v>Contingency</c:v>
                </c:pt>
                <c:pt idx="5">
                  <c:v>Margin Money Capital for working Capital</c:v>
                </c:pt>
                <c:pt idx="6">
                  <c:v>Total</c:v>
                </c:pt>
              </c:strCache>
            </c:strRef>
          </c:cat>
          <c:val>
            <c:numRef>
              <c:f>'[1]CA Certificate'!$F$3:$F$9</c:f>
              <c:numCache>
                <c:formatCode>General</c:formatCode>
                <c:ptCount val="7"/>
                <c:pt idx="0">
                  <c:v>208.49</c:v>
                </c:pt>
                <c:pt idx="1">
                  <c:v>432.34</c:v>
                </c:pt>
                <c:pt idx="2">
                  <c:v>27.1</c:v>
                </c:pt>
                <c:pt idx="3">
                  <c:v>0</c:v>
                </c:pt>
                <c:pt idx="4">
                  <c:v>0</c:v>
                </c:pt>
                <c:pt idx="5">
                  <c:v>0</c:v>
                </c:pt>
                <c:pt idx="6">
                  <c:v>667.93</c:v>
                </c:pt>
              </c:numCache>
            </c:numRef>
          </c:val>
          <c:extLst>
            <c:ext xmlns:c16="http://schemas.microsoft.com/office/drawing/2014/chart" uri="{C3380CC4-5D6E-409C-BE32-E72D297353CC}">
              <c16:uniqueId val="{00000000-4BC3-467B-A683-17EA26811C32}"/>
            </c:ext>
          </c:extLst>
        </c:ser>
        <c:ser>
          <c:idx val="1"/>
          <c:order val="1"/>
          <c:tx>
            <c:strRef>
              <c:f>'[1]CA Certificate'!$G$2</c:f>
              <c:strCache>
                <c:ptCount val="1"/>
                <c:pt idx="0">
                  <c:v>Expense incured in crore (Dec.)</c:v>
                </c:pt>
              </c:strCache>
            </c:strRef>
          </c:tx>
          <c:spPr>
            <a:solidFill>
              <a:schemeClr val="accent2"/>
            </a:solidFill>
            <a:ln>
              <a:noFill/>
            </a:ln>
            <a:effectLst/>
          </c:spPr>
          <c:invertIfNegative val="0"/>
          <c:cat>
            <c:strRef>
              <c:f>'[1]CA Certificate'!$E$3:$E$9</c:f>
              <c:strCache>
                <c:ptCount val="7"/>
                <c:pt idx="0">
                  <c:v>Land and site Development</c:v>
                </c:pt>
                <c:pt idx="1">
                  <c:v>Plant and Machinery/ Building &amp; Civil Structures/ Miscellaneous Fixed assests</c:v>
                </c:pt>
                <c:pt idx="2">
                  <c:v>Pre-operative Expenses/ Engineering and Knowhow/ Training &amp; Foreign Technician Expenses </c:v>
                </c:pt>
                <c:pt idx="3">
                  <c:v>Interest during construction Period</c:v>
                </c:pt>
                <c:pt idx="4">
                  <c:v>Contingency</c:v>
                </c:pt>
                <c:pt idx="5">
                  <c:v>Margin Money Capital for working Capital</c:v>
                </c:pt>
                <c:pt idx="6">
                  <c:v>Total</c:v>
                </c:pt>
              </c:strCache>
            </c:strRef>
          </c:cat>
          <c:val>
            <c:numRef>
              <c:f>'[1]CA Certificate'!$G$3:$G$9</c:f>
              <c:numCache>
                <c:formatCode>General</c:formatCode>
                <c:ptCount val="7"/>
                <c:pt idx="0">
                  <c:v>259.13</c:v>
                </c:pt>
                <c:pt idx="1">
                  <c:v>664.63</c:v>
                </c:pt>
                <c:pt idx="2">
                  <c:v>36.17</c:v>
                </c:pt>
                <c:pt idx="3">
                  <c:v>1.06</c:v>
                </c:pt>
                <c:pt idx="4">
                  <c:v>0</c:v>
                </c:pt>
                <c:pt idx="5">
                  <c:v>0</c:v>
                </c:pt>
                <c:pt idx="6">
                  <c:v>960.9899999999999</c:v>
                </c:pt>
              </c:numCache>
            </c:numRef>
          </c:val>
          <c:extLst>
            <c:ext xmlns:c16="http://schemas.microsoft.com/office/drawing/2014/chart" uri="{C3380CC4-5D6E-409C-BE32-E72D297353CC}">
              <c16:uniqueId val="{00000001-4BC3-467B-A683-17EA26811C32}"/>
            </c:ext>
          </c:extLst>
        </c:ser>
        <c:ser>
          <c:idx val="2"/>
          <c:order val="2"/>
          <c:tx>
            <c:strRef>
              <c:f>'[1]CA Certificate'!$H$2</c:f>
              <c:strCache>
                <c:ptCount val="1"/>
                <c:pt idx="0">
                  <c:v>Estimated Project Cost as per the Holtec Report</c:v>
                </c:pt>
              </c:strCache>
            </c:strRef>
          </c:tx>
          <c:spPr>
            <a:solidFill>
              <a:schemeClr val="accent3"/>
            </a:solidFill>
            <a:ln>
              <a:noFill/>
            </a:ln>
            <a:effectLst/>
          </c:spPr>
          <c:invertIfNegative val="0"/>
          <c:cat>
            <c:strRef>
              <c:f>'[1]CA Certificate'!$E$3:$E$9</c:f>
              <c:strCache>
                <c:ptCount val="7"/>
                <c:pt idx="0">
                  <c:v>Land and site Development</c:v>
                </c:pt>
                <c:pt idx="1">
                  <c:v>Plant and Machinery/ Building &amp; Civil Structures/ Miscellaneous Fixed assests</c:v>
                </c:pt>
                <c:pt idx="2">
                  <c:v>Pre-operative Expenses/ Engineering and Knowhow/ Training &amp; Foreign Technician Expenses </c:v>
                </c:pt>
                <c:pt idx="3">
                  <c:v>Interest during construction Period</c:v>
                </c:pt>
                <c:pt idx="4">
                  <c:v>Contingency</c:v>
                </c:pt>
                <c:pt idx="5">
                  <c:v>Margin Money Capital for working Capital</c:v>
                </c:pt>
                <c:pt idx="6">
                  <c:v>Total</c:v>
                </c:pt>
              </c:strCache>
            </c:strRef>
          </c:cat>
          <c:val>
            <c:numRef>
              <c:f>'[1]CA Certificate'!$H$3:$H$9</c:f>
              <c:numCache>
                <c:formatCode>General</c:formatCode>
                <c:ptCount val="7"/>
                <c:pt idx="0">
                  <c:v>497.65</c:v>
                </c:pt>
                <c:pt idx="1">
                  <c:v>1989.93</c:v>
                </c:pt>
                <c:pt idx="2">
                  <c:v>140.46</c:v>
                </c:pt>
                <c:pt idx="3">
                  <c:v>130.31</c:v>
                </c:pt>
                <c:pt idx="4">
                  <c:v>197.1</c:v>
                </c:pt>
                <c:pt idx="5">
                  <c:v>14.94</c:v>
                </c:pt>
                <c:pt idx="6">
                  <c:v>2970.39</c:v>
                </c:pt>
              </c:numCache>
            </c:numRef>
          </c:val>
          <c:extLst>
            <c:ext xmlns:c16="http://schemas.microsoft.com/office/drawing/2014/chart" uri="{C3380CC4-5D6E-409C-BE32-E72D297353CC}">
              <c16:uniqueId val="{00000002-4BC3-467B-A683-17EA26811C32}"/>
            </c:ext>
          </c:extLst>
        </c:ser>
        <c:dLbls>
          <c:showLegendKey val="0"/>
          <c:showVal val="0"/>
          <c:showCatName val="0"/>
          <c:showSerName val="0"/>
          <c:showPercent val="0"/>
          <c:showBubbleSize val="0"/>
        </c:dLbls>
        <c:gapWidth val="219"/>
        <c:overlap val="-27"/>
        <c:axId val="-759221040"/>
        <c:axId val="-759217776"/>
      </c:barChart>
      <c:catAx>
        <c:axId val="-759221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217776"/>
        <c:crosses val="autoZero"/>
        <c:auto val="1"/>
        <c:lblAlgn val="ctr"/>
        <c:lblOffset val="100"/>
        <c:noMultiLvlLbl val="0"/>
      </c:catAx>
      <c:valAx>
        <c:axId val="-7592177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221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sng" strike="noStrike" kern="1200" spc="0" baseline="0">
                <a:solidFill>
                  <a:schemeClr val="tx1">
                    <a:lumMod val="65000"/>
                    <a:lumOff val="35000"/>
                  </a:schemeClr>
                </a:solidFill>
                <a:latin typeface="+mn-lt"/>
                <a:ea typeface="+mn-ea"/>
                <a:cs typeface="+mn-cs"/>
              </a:defRPr>
            </a:pPr>
            <a:r>
              <a:rPr lang="en-GB" sz="1800" u="sng"/>
              <a:t>COST OF PROJECT (Rs.</a:t>
            </a:r>
            <a:r>
              <a:rPr lang="en-GB" sz="1800" u="sng" baseline="0"/>
              <a:t> 2970.30 Crore)</a:t>
            </a:r>
            <a:endParaRPr lang="en-GB" sz="1800" u="sng"/>
          </a:p>
        </c:rich>
      </c:tx>
      <c:overlay val="0"/>
      <c:spPr>
        <a:noFill/>
        <a:ln>
          <a:noFill/>
        </a:ln>
        <a:effectLst/>
      </c:spPr>
      <c:txPr>
        <a:bodyPr rot="0" spcFirstLastPara="1" vertOverflow="ellipsis" vert="horz" wrap="square" anchor="ctr" anchorCtr="1"/>
        <a:lstStyle/>
        <a:p>
          <a:pPr>
            <a:defRPr sz="1800" b="0" i="0" u="sng"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2875597681019924E-2"/>
          <c:y val="0.1321580860778076"/>
          <c:w val="0.53658044017842421"/>
          <c:h val="0.7813246928323172"/>
        </c:manualLayout>
      </c:layout>
      <c:pieChart>
        <c:varyColors val="1"/>
        <c:ser>
          <c:idx val="0"/>
          <c:order val="0"/>
          <c:explosion val="3"/>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D1A-4055-9C80-F5FCAB7763E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D1A-4055-9C80-F5FCAB7763E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D1A-4055-9C80-F5FCAB7763E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D1A-4055-9C80-F5FCAB7763E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D1A-4055-9C80-F5FCAB7763E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D1A-4055-9C80-F5FCAB7763E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ED1A-4055-9C80-F5FCAB7763E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ED1A-4055-9C80-F5FCAB7763E0}"/>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ED1A-4055-9C80-F5FCAB7763E0}"/>
              </c:ext>
            </c:extLst>
          </c:dPt>
          <c:dLbls>
            <c:dLbl>
              <c:idx val="0"/>
              <c:tx>
                <c:rich>
                  <a:bodyPr/>
                  <a:lstStyle/>
                  <a:p>
                    <a:fld id="{A3BF91DC-672C-4F28-93C1-602226273F33}" type="PERCENTAGE">
                      <a:rPr lang="en-US" baseline="0"/>
                      <a:pPr/>
                      <a:t>[PERCENTAGE]</a:t>
                    </a:fld>
                    <a:endParaRPr lang="en-IN"/>
                  </a:p>
                </c:rich>
              </c:tx>
              <c:dLblPos val="outEnd"/>
              <c:showLegendKey val="1"/>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D1A-4055-9C80-F5FCAB7763E0}"/>
                </c:ext>
              </c:extLst>
            </c:dLbl>
            <c:dLbl>
              <c:idx val="1"/>
              <c:tx>
                <c:rich>
                  <a:bodyPr/>
                  <a:lstStyle/>
                  <a:p>
                    <a:fld id="{01B6E850-22D1-43FC-A4B1-20B99ACFDFBC}" type="PERCENTAGE">
                      <a:rPr lang="en-US" baseline="0"/>
                      <a:pPr/>
                      <a:t>[PERCENTAGE]</a:t>
                    </a:fld>
                    <a:endParaRPr lang="en-IN"/>
                  </a:p>
                </c:rich>
              </c:tx>
              <c:dLblPos val="outEnd"/>
              <c:showLegendKey val="1"/>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ED1A-4055-9C80-F5FCAB7763E0}"/>
                </c:ext>
              </c:extLst>
            </c:dLbl>
            <c:dLbl>
              <c:idx val="2"/>
              <c:layout>
                <c:manualLayout>
                  <c:x val="-9.2501940045788031E-2"/>
                  <c:y val="7.5813752007273527E-2"/>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fld id="{345A5E9C-7F1E-495D-8DB6-F01C4260E0A3}" type="PERCENTAGE">
                      <a:rPr lang="en-US" baseline="0"/>
                      <a:pPr>
                        <a:defRPr/>
                      </a:pPr>
                      <a:t>[PERCENTAGE]</a:t>
                    </a:fld>
                    <a:endParaRPr lang="en-IN"/>
                  </a:p>
                </c:rich>
              </c:tx>
              <c:spPr>
                <a:solidFill>
                  <a:sysClr val="window" lastClr="FFFFFF"/>
                </a:solidFill>
                <a:ln w="9525" cap="flat" cmpd="sng" algn="ctr">
                  <a:solidFill>
                    <a:sysClr val="windowText" lastClr="000000">
                      <a:lumMod val="25000"/>
                      <a:lumOff val="75000"/>
                    </a:sysClr>
                  </a:solidFill>
                  <a:prstDash val="solid"/>
                  <a:round/>
                  <a:headEnd type="none" w="med" len="med"/>
                  <a:tailEnd type="none" w="med" len="med"/>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bestFit"/>
              <c:showLegendKey val="1"/>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43138"/>
                        <a:gd name="adj2" fmla="val 207890"/>
                      </a:avLst>
                    </a:prstGeom>
                    <a:noFill/>
                    <a:ln>
                      <a:noFill/>
                    </a:ln>
                  </c15:spPr>
                  <c15:dlblFieldTable/>
                  <c15:showDataLabelsRange val="0"/>
                </c:ext>
                <c:ext xmlns:c16="http://schemas.microsoft.com/office/drawing/2014/chart" uri="{C3380CC4-5D6E-409C-BE32-E72D297353CC}">
                  <c16:uniqueId val="{00000005-ED1A-4055-9C80-F5FCAB7763E0}"/>
                </c:ext>
              </c:extLst>
            </c:dLbl>
            <c:dLbl>
              <c:idx val="3"/>
              <c:layout>
                <c:manualLayout>
                  <c:x val="-2.4900962082625919E-2"/>
                  <c:y val="-0.10218375270545565"/>
                </c:manualLayout>
              </c:layout>
              <c:tx>
                <c:rich>
                  <a:bodyPr/>
                  <a:lstStyle/>
                  <a:p>
                    <a:fld id="{3C26C891-A449-448C-A00A-210A51D23138}" type="PERCENTAGE">
                      <a:rPr lang="en-US" baseline="0"/>
                      <a:pPr/>
                      <a:t>[PERCENTAGE]</a:t>
                    </a:fld>
                    <a:endParaRPr lang="en-IN"/>
                  </a:p>
                </c:rich>
              </c:tx>
              <c:dLblPos val="bestFit"/>
              <c:showLegendKey val="1"/>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ED1A-4055-9C80-F5FCAB7763E0}"/>
                </c:ext>
              </c:extLst>
            </c:dLbl>
            <c:dLbl>
              <c:idx val="4"/>
              <c:tx>
                <c:rich>
                  <a:bodyPr/>
                  <a:lstStyle/>
                  <a:p>
                    <a:fld id="{70CF2C4F-AE38-453A-AA73-F46B768B1E04}" type="PERCENTAGE">
                      <a:rPr lang="en-US" baseline="0"/>
                      <a:pPr/>
                      <a:t>[PERCENTAGE]</a:t>
                    </a:fld>
                    <a:endParaRPr lang="en-IN"/>
                  </a:p>
                </c:rich>
              </c:tx>
              <c:dLblPos val="outEnd"/>
              <c:showLegendKey val="1"/>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ED1A-4055-9C80-F5FCAB7763E0}"/>
                </c:ext>
              </c:extLst>
            </c:dLbl>
            <c:dLbl>
              <c:idx val="5"/>
              <c:layout>
                <c:manualLayout>
                  <c:x val="1.5846066779852858E-2"/>
                  <c:y val="4.285125113454586E-2"/>
                </c:manualLayout>
              </c:layout>
              <c:tx>
                <c:rich>
                  <a:bodyPr/>
                  <a:lstStyle/>
                  <a:p>
                    <a:fld id="{EF70A218-CFE2-4D9D-B440-71BB4D32DE48}" type="PERCENTAGE">
                      <a:rPr lang="en-US" baseline="0"/>
                      <a:pPr/>
                      <a:t>[PERCENTAGE]</a:t>
                    </a:fld>
                    <a:endParaRPr lang="en-IN"/>
                  </a:p>
                </c:rich>
              </c:tx>
              <c:dLblPos val="bestFit"/>
              <c:showLegendKey val="1"/>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ED1A-4055-9C80-F5FCAB7763E0}"/>
                </c:ext>
              </c:extLst>
            </c:dLbl>
            <c:dLbl>
              <c:idx val="6"/>
              <c:tx>
                <c:rich>
                  <a:bodyPr/>
                  <a:lstStyle/>
                  <a:p>
                    <a:fld id="{92CFC37A-0ED5-4D71-9F8D-3E81EEF147DB}" type="PERCENTAGE">
                      <a:rPr lang="en-US" baseline="0"/>
                      <a:pPr/>
                      <a:t>[PERCENTAGE]</a:t>
                    </a:fld>
                    <a:endParaRPr lang="en-IN"/>
                  </a:p>
                </c:rich>
              </c:tx>
              <c:dLblPos val="outEnd"/>
              <c:showLegendKey val="1"/>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ED1A-4055-9C80-F5FCAB7763E0}"/>
                </c:ext>
              </c:extLst>
            </c:dLbl>
            <c:dLbl>
              <c:idx val="7"/>
              <c:tx>
                <c:rich>
                  <a:bodyPr/>
                  <a:lstStyle/>
                  <a:p>
                    <a:fld id="{4056957F-301B-4FAE-A14D-CBA40A6B4224}" type="PERCENTAGE">
                      <a:rPr lang="en-US" baseline="0"/>
                      <a:pPr/>
                      <a:t>[PERCENTAGE]</a:t>
                    </a:fld>
                    <a:endParaRPr lang="en-IN"/>
                  </a:p>
                </c:rich>
              </c:tx>
              <c:dLblPos val="outEnd"/>
              <c:showLegendKey val="1"/>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ED1A-4055-9C80-F5FCAB7763E0}"/>
                </c:ext>
              </c:extLst>
            </c:dLbl>
            <c:dLbl>
              <c:idx val="8"/>
              <c:tx>
                <c:rich>
                  <a:bodyPr/>
                  <a:lstStyle/>
                  <a:p>
                    <a:fld id="{D6A51AF8-FC94-4DB1-972A-F977C8CBA09D}" type="PERCENTAGE">
                      <a:rPr lang="en-US" baseline="0"/>
                      <a:pPr/>
                      <a:t>[PERCENTAGE]</a:t>
                    </a:fld>
                    <a:endParaRPr lang="en-IN"/>
                  </a:p>
                </c:rich>
              </c:tx>
              <c:dLblPos val="outEnd"/>
              <c:showLegendKey val="1"/>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ED1A-4055-9C80-F5FCAB7763E0}"/>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1"/>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'Cost of Project'!$C$3:$C$11</c:f>
              <c:strCache>
                <c:ptCount val="9"/>
                <c:pt idx="0">
                  <c:v>Land and Site Development</c:v>
                </c:pt>
                <c:pt idx="1">
                  <c:v>Buildings and Civil Structures</c:v>
                </c:pt>
                <c:pt idx="2">
                  <c:v>Plant and Machinery</c:v>
                </c:pt>
                <c:pt idx="3">
                  <c:v>Engineering &amp; Know how</c:v>
                </c:pt>
                <c:pt idx="4">
                  <c:v>Expense on training and foreign technicians</c:v>
                </c:pt>
                <c:pt idx="5">
                  <c:v>Miscellaneous Fixed assets</c:v>
                </c:pt>
                <c:pt idx="6">
                  <c:v>Pre-operative expenses including during IDC</c:v>
                </c:pt>
                <c:pt idx="7">
                  <c:v>Contingency@7.5%</c:v>
                </c:pt>
                <c:pt idx="8">
                  <c:v>Margin money for working capital</c:v>
                </c:pt>
              </c:strCache>
            </c:strRef>
          </c:cat>
          <c:val>
            <c:numRef>
              <c:f>'Cost of Project'!$D$3:$D$11</c:f>
              <c:numCache>
                <c:formatCode>General</c:formatCode>
                <c:ptCount val="9"/>
                <c:pt idx="0">
                  <c:v>497.65</c:v>
                </c:pt>
                <c:pt idx="1">
                  <c:v>460.68</c:v>
                </c:pt>
                <c:pt idx="2">
                  <c:v>1496.87</c:v>
                </c:pt>
                <c:pt idx="3">
                  <c:v>15</c:v>
                </c:pt>
                <c:pt idx="4">
                  <c:v>8</c:v>
                </c:pt>
                <c:pt idx="5">
                  <c:v>32.28</c:v>
                </c:pt>
                <c:pt idx="6">
                  <c:v>247.78</c:v>
                </c:pt>
                <c:pt idx="7">
                  <c:v>197.1</c:v>
                </c:pt>
                <c:pt idx="8">
                  <c:v>14.94</c:v>
                </c:pt>
              </c:numCache>
            </c:numRef>
          </c:val>
          <c:extLst>
            <c:ext xmlns:c16="http://schemas.microsoft.com/office/drawing/2014/chart" uri="{C3380CC4-5D6E-409C-BE32-E72D297353CC}">
              <c16:uniqueId val="{00000012-ED1A-4055-9C80-F5FCAB7763E0}"/>
            </c:ext>
          </c:extLst>
        </c:ser>
        <c:dLbls>
          <c:showLegendKey val="0"/>
          <c:showVal val="0"/>
          <c:showCatName val="0"/>
          <c:showSerName val="0"/>
          <c:showPercent val="0"/>
          <c:showBubbleSize val="0"/>
          <c:showLeaderLines val="0"/>
        </c:dLbls>
        <c:firstSliceAng val="127"/>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r>
              <a:rPr lang="en-GB" u="sng">
                <a:solidFill>
                  <a:schemeClr val="tx1"/>
                </a:solidFill>
              </a:rPr>
              <a:t>MEANS</a:t>
            </a:r>
            <a:r>
              <a:rPr lang="en-GB" u="sng" baseline="0">
                <a:solidFill>
                  <a:schemeClr val="tx1"/>
                </a:solidFill>
              </a:rPr>
              <a:t> OF FINANCE (Rs.2970.30 Crore</a:t>
            </a:r>
            <a:r>
              <a:rPr lang="en-GB" baseline="0">
                <a:solidFill>
                  <a:schemeClr val="tx1"/>
                </a:solidFill>
              </a:rPr>
              <a:t>)</a:t>
            </a:r>
            <a:endParaRPr lang="en-GB">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title>
    <c:autoTitleDeleted val="0"/>
    <c:plotArea>
      <c:layout/>
      <c:pieChart>
        <c:varyColors val="1"/>
        <c:ser>
          <c:idx val="0"/>
          <c:order val="0"/>
          <c:dPt>
            <c:idx val="0"/>
            <c:bubble3D val="0"/>
            <c:explosion val="5"/>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BBCF-4998-B21A-6781FE51202E}"/>
              </c:ext>
            </c:extLst>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BBCF-4998-B21A-6781FE51202E}"/>
              </c:ext>
            </c:extLst>
          </c:dPt>
          <c:dLbls>
            <c:dLbl>
              <c:idx val="0"/>
              <c:layout>
                <c:manualLayout>
                  <c:x val="-2.5000000000000001E-2"/>
                  <c:y val="-0.1111111111111111"/>
                </c:manualLayout>
              </c:layout>
              <c:tx>
                <c:rich>
                  <a:bodyPr/>
                  <a:lstStyle/>
                  <a:p>
                    <a:fld id="{ACFA26A4-2376-4894-B85B-C4AE67A05E2E}" type="PERCENTAGE">
                      <a:rPr lang="en-US" baseline="0"/>
                      <a:pPr/>
                      <a:t>[PERCENTAGE]</a:t>
                    </a:fld>
                    <a:endParaRPr lang="en-IN"/>
                  </a:p>
                </c:rich>
              </c:tx>
              <c:dLblPos val="bestFit"/>
              <c:showLegendKey val="1"/>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BCF-4998-B21A-6781FE51202E}"/>
                </c:ext>
              </c:extLst>
            </c:dLbl>
            <c:dLbl>
              <c:idx val="1"/>
              <c:layout>
                <c:manualLayout>
                  <c:x val="-2.2222222222222247E-2"/>
                  <c:y val="5.0925925925925923E-2"/>
                </c:manualLayout>
              </c:layout>
              <c:tx>
                <c:rich>
                  <a:bodyPr/>
                  <a:lstStyle/>
                  <a:p>
                    <a:fld id="{1D198034-D85B-4E0A-9239-4D68D578D541}" type="PERCENTAGE">
                      <a:rPr lang="en-US" baseline="0"/>
                      <a:pPr/>
                      <a:t>[PERCENTAGE]</a:t>
                    </a:fld>
                    <a:endParaRPr lang="en-IN"/>
                  </a:p>
                </c:rich>
              </c:tx>
              <c:dLblPos val="bestFit"/>
              <c:showLegendKey val="1"/>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BBCF-4998-B21A-6781FE51202E}"/>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dk2">
                        <a:lumMod val="75000"/>
                      </a:schemeClr>
                    </a:solidFill>
                    <a:latin typeface="+mn-lt"/>
                    <a:ea typeface="+mn-ea"/>
                    <a:cs typeface="+mn-cs"/>
                  </a:defRPr>
                </a:pPr>
                <a:endParaRPr lang="en-US"/>
              </a:p>
            </c:txPr>
            <c:dLblPos val="outEnd"/>
            <c:showLegendKey val="1"/>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'Cost of Project'!$C$15:$C$16</c:f>
              <c:strCache>
                <c:ptCount val="2"/>
                <c:pt idx="0">
                  <c:v>Promoter’s Contribution (Equity)</c:v>
                </c:pt>
                <c:pt idx="1">
                  <c:v>Term Loan (Debt)</c:v>
                </c:pt>
              </c:strCache>
            </c:strRef>
          </c:cat>
          <c:val>
            <c:numRef>
              <c:f>'Cost of Project'!$D$15:$D$16</c:f>
              <c:numCache>
                <c:formatCode>General</c:formatCode>
                <c:ptCount val="2"/>
                <c:pt idx="0">
                  <c:v>1291.44</c:v>
                </c:pt>
                <c:pt idx="1">
                  <c:v>1678.86</c:v>
                </c:pt>
              </c:numCache>
            </c:numRef>
          </c:val>
          <c:extLst>
            <c:ext xmlns:c16="http://schemas.microsoft.com/office/drawing/2014/chart" uri="{C3380CC4-5D6E-409C-BE32-E72D297353CC}">
              <c16:uniqueId val="{00000004-BBCF-4998-B21A-6781FE51202E}"/>
            </c:ext>
          </c:extLst>
        </c:ser>
        <c:dLbls>
          <c:showLegendKey val="0"/>
          <c:showVal val="0"/>
          <c:showCatName val="0"/>
          <c:showSerName val="0"/>
          <c:showPercent val="0"/>
          <c:showBubbleSize val="0"/>
          <c:showLeaderLines val="0"/>
        </c:dLbls>
        <c:firstSliceAng val="3"/>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11</xdr:col>
      <xdr:colOff>142875</xdr:colOff>
      <xdr:row>2</xdr:row>
      <xdr:rowOff>314325</xdr:rowOff>
    </xdr:from>
    <xdr:to>
      <xdr:col>22</xdr:col>
      <xdr:colOff>276225</xdr:colOff>
      <xdr:row>10</xdr:row>
      <xdr:rowOff>85725</xdr:rowOff>
    </xdr:to>
    <xdr:graphicFrame macro="">
      <xdr:nvGraphicFramePr>
        <xdr:cNvPr id="2" name="Chart 1">
          <a:extLst>
            <a:ext uri="{FF2B5EF4-FFF2-40B4-BE49-F238E27FC236}">
              <a16:creationId xmlns:a16="http://schemas.microsoft.com/office/drawing/2014/main" id="{08D51441-C795-4922-9602-0299A6FDF2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352424</xdr:colOff>
      <xdr:row>3</xdr:row>
      <xdr:rowOff>461961</xdr:rowOff>
    </xdr:from>
    <xdr:to>
      <xdr:col>18</xdr:col>
      <xdr:colOff>361950</xdr:colOff>
      <xdr:row>7</xdr:row>
      <xdr:rowOff>657224</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214312</xdr:colOff>
      <xdr:row>14</xdr:row>
      <xdr:rowOff>423862</xdr:rowOff>
    </xdr:from>
    <xdr:to>
      <xdr:col>13</xdr:col>
      <xdr:colOff>519112</xdr:colOff>
      <xdr:row>26</xdr:row>
      <xdr:rowOff>80962</xdr:rowOff>
    </xdr:to>
    <xdr:graphicFrame macro="">
      <xdr:nvGraphicFramePr>
        <xdr:cNvPr id="3" name="Chart 2">
          <a:extLst>
            <a:ext uri="{FF2B5EF4-FFF2-40B4-BE49-F238E27FC236}">
              <a16:creationId xmlns:a16="http://schemas.microsoft.com/office/drawing/2014/main" id="{00000000-0008-0000-0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20Progress%20Files/Tejash%20Bharadwaj/completed/jk%20cement-MARCH/Physical%20Progress-Abhishel%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y, Prog. and exp. sheet"/>
      <sheetName val="Detailed Physical Progress IU"/>
      <sheetName val="Detailed Phy. progress GU"/>
      <sheetName val="IU COP"/>
      <sheetName val="IU Civil cost"/>
      <sheetName val="IU M&amp;E"/>
      <sheetName val="IU Power Distribution"/>
      <sheetName val="GU COP"/>
      <sheetName val="GU Civil Cost"/>
      <sheetName val="Sheet1"/>
      <sheetName val="GU M&amp;E"/>
      <sheetName val="GU Power Distrbution"/>
      <sheetName val="Constractors and suppliers"/>
      <sheetName val="Cost of Project"/>
      <sheetName val="CA Certificate"/>
      <sheetName val="IU mACHINES"/>
      <sheetName val="Grinding Unit"/>
      <sheetName val="Integrated Un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F2" t="str">
            <v>Expense Incured in September (in crores)</v>
          </cell>
          <cell r="G2" t="str">
            <v>Expense incured in crore (Dec.)</v>
          </cell>
          <cell r="H2" t="str">
            <v>Estimated Project Cost as per the Holtec Report</v>
          </cell>
        </row>
        <row r="3">
          <cell r="E3" t="str">
            <v>Land and site Development</v>
          </cell>
          <cell r="F3">
            <v>208.49</v>
          </cell>
          <cell r="G3">
            <v>259.13</v>
          </cell>
          <cell r="H3">
            <v>497.65</v>
          </cell>
        </row>
        <row r="4">
          <cell r="E4" t="str">
            <v>Plant and Machinery/ Building &amp; Civil Structures/ Miscellaneous Fixed assests</v>
          </cell>
          <cell r="F4">
            <v>432.34</v>
          </cell>
          <cell r="G4">
            <v>664.63</v>
          </cell>
          <cell r="H4">
            <v>1989.93</v>
          </cell>
        </row>
        <row r="5">
          <cell r="E5" t="str">
            <v xml:space="preserve">Pre-operative Expenses/ Engineering and Knowhow/ Training &amp; Foreign Technician Expenses </v>
          </cell>
          <cell r="F5">
            <v>27.1</v>
          </cell>
          <cell r="G5">
            <v>36.17</v>
          </cell>
          <cell r="H5">
            <v>140.46</v>
          </cell>
        </row>
        <row r="6">
          <cell r="E6" t="str">
            <v>Interest during construction Period</v>
          </cell>
          <cell r="F6">
            <v>0</v>
          </cell>
          <cell r="G6">
            <v>1.06</v>
          </cell>
          <cell r="H6">
            <v>130.31</v>
          </cell>
        </row>
        <row r="7">
          <cell r="E7" t="str">
            <v>Contingency</v>
          </cell>
          <cell r="F7">
            <v>0</v>
          </cell>
          <cell r="G7">
            <v>0</v>
          </cell>
          <cell r="H7">
            <v>197.1</v>
          </cell>
        </row>
        <row r="8">
          <cell r="E8" t="str">
            <v>Margin Money Capital for working Capital</v>
          </cell>
          <cell r="F8">
            <v>0</v>
          </cell>
          <cell r="G8">
            <v>0</v>
          </cell>
          <cell r="H8">
            <v>14.94</v>
          </cell>
        </row>
        <row r="9">
          <cell r="E9" t="str">
            <v>Total</v>
          </cell>
          <cell r="F9">
            <v>667.93</v>
          </cell>
          <cell r="G9">
            <v>960.9899999999999</v>
          </cell>
          <cell r="H9">
            <v>2970.39</v>
          </cell>
        </row>
      </sheetData>
      <sheetData sheetId="15"/>
      <sheetData sheetId="16"/>
      <sheetData sheetId="1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E2:K9" totalsRowShown="0" headerRowBorderDxfId="11" tableBorderDxfId="10">
  <autoFilter ref="E2:K9" xr:uid="{00000000-0009-0000-0100-000001000000}"/>
  <tableColumns count="7">
    <tableColumn id="1" xr3:uid="{00000000-0010-0000-0000-000001000000}" name="Item" dataDxfId="9"/>
    <tableColumn id="2" xr3:uid="{00000000-0010-0000-0000-000002000000}" name="Expense Incured in September (in crores)" dataDxfId="8"/>
    <tableColumn id="3" xr3:uid="{00000000-0010-0000-0000-000003000000}" name="Expense incured in crore (Dec.)" dataDxfId="7"/>
    <tableColumn id="4" xr3:uid="{00000000-0010-0000-0000-000004000000}" name="Estimated Project Cost as per the Holtec Report" dataDxfId="6"/>
    <tableColumn id="5" xr3:uid="{00000000-0010-0000-0000-000005000000}" name="September" dataCellStyle="Percent">
      <calculatedColumnFormula>Table1[[#This Row],[Expense Incured in September (in crores)]]/Table1[[#This Row],[Estimated Project Cost as per the Holtec Report]]</calculatedColumnFormula>
    </tableColumn>
    <tableColumn id="6" xr3:uid="{00000000-0010-0000-0000-000006000000}" name="December" dataCellStyle="Percent">
      <calculatedColumnFormula>Table1[[#This Row],[Expense incured in crore (Dec.)]]/Table1[[#This Row],[Estimated Project Cost as per the Holtec Report]]</calculatedColumnFormula>
    </tableColumn>
    <tableColumn id="7" xr3:uid="{00000000-0010-0000-0000-000007000000}" name="January" dataDxfId="5">
      <calculatedColumnFormula>(Table1[[#This Row],[December]]-Table1[[#This Row],[September]])/Table1[[#This Row],[September]]</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E11:G15" totalsRowShown="0" headerRowDxfId="4" headerRowBorderDxfId="3" tableBorderDxfId="2" totalsRowBorderDxfId="1">
  <autoFilter ref="E11:G15" xr:uid="{00000000-0009-0000-0100-000002000000}"/>
  <tableColumns count="3">
    <tableColumn id="1" xr3:uid="{00000000-0010-0000-0100-000001000000}" name="Particulars"/>
    <tableColumn id="2" xr3:uid="{00000000-0010-0000-0100-000002000000}" name="Rs. (in crore)"/>
    <tableColumn id="3" xr3:uid="{00000000-0010-0000-0100-000003000000}" name="Rs. in cror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table" Target="../tables/table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I61"/>
  <sheetViews>
    <sheetView zoomScale="85" zoomScaleNormal="85" zoomScaleSheetLayoutView="55" workbookViewId="0">
      <selection activeCell="B7" sqref="B7"/>
    </sheetView>
  </sheetViews>
  <sheetFormatPr defaultColWidth="8.85546875" defaultRowHeight="14.25" x14ac:dyDescent="0.2"/>
  <cols>
    <col min="1" max="1" width="2" style="22" customWidth="1"/>
    <col min="2" max="2" width="37" style="22" bestFit="1" customWidth="1"/>
    <col min="3" max="3" width="34.5703125" style="22" bestFit="1" customWidth="1"/>
    <col min="4" max="4" width="23.5703125" style="22" bestFit="1" customWidth="1"/>
    <col min="5" max="5" width="19.42578125" style="22" bestFit="1" customWidth="1"/>
    <col min="6" max="6" width="34.5703125" style="22" bestFit="1" customWidth="1"/>
    <col min="7" max="7" width="23.5703125" style="22" bestFit="1" customWidth="1"/>
    <col min="8" max="8" width="19.42578125" style="22" bestFit="1" customWidth="1"/>
    <col min="9" max="9" width="11.28515625" style="22" bestFit="1" customWidth="1"/>
    <col min="10" max="16384" width="8.85546875" style="22"/>
  </cols>
  <sheetData>
    <row r="2" spans="2:9" s="30" customFormat="1" ht="15" x14ac:dyDescent="0.25">
      <c r="B2" s="116" t="s">
        <v>680</v>
      </c>
    </row>
    <row r="4" spans="2:9" ht="15" x14ac:dyDescent="0.25">
      <c r="C4" s="262" t="s">
        <v>673</v>
      </c>
      <c r="D4" s="263"/>
      <c r="E4" s="264"/>
      <c r="F4" s="262" t="s">
        <v>671</v>
      </c>
      <c r="G4" s="263"/>
      <c r="H4" s="264"/>
    </row>
    <row r="5" spans="2:9" s="30" customFormat="1" ht="15" x14ac:dyDescent="0.25">
      <c r="B5" s="30" t="s">
        <v>669</v>
      </c>
      <c r="C5" s="69" t="s">
        <v>660</v>
      </c>
      <c r="D5" s="30" t="s">
        <v>661</v>
      </c>
      <c r="E5" s="70" t="s">
        <v>662</v>
      </c>
      <c r="F5" s="69" t="s">
        <v>660</v>
      </c>
      <c r="G5" s="30" t="s">
        <v>661</v>
      </c>
      <c r="H5" s="70" t="s">
        <v>662</v>
      </c>
    </row>
    <row r="6" spans="2:9" s="132" customFormat="1" x14ac:dyDescent="0.2">
      <c r="B6" s="132" t="s">
        <v>659</v>
      </c>
      <c r="C6" s="229">
        <f>E6/D6</f>
        <v>0.51243330339690429</v>
      </c>
      <c r="D6" s="230">
        <v>37858</v>
      </c>
      <c r="E6" s="231">
        <v>19399.7</v>
      </c>
      <c r="F6" s="229">
        <f>H6/G6</f>
        <v>0.20372577696526509</v>
      </c>
      <c r="G6" s="230">
        <v>8205</v>
      </c>
      <c r="H6" s="231">
        <v>1671.57</v>
      </c>
      <c r="I6" s="230">
        <f>E6+H6</f>
        <v>21071.27</v>
      </c>
    </row>
    <row r="7" spans="2:9" s="132" customFormat="1" ht="15" thickBot="1" x14ac:dyDescent="0.25">
      <c r="B7" s="132" t="s">
        <v>658</v>
      </c>
      <c r="C7" s="232">
        <f>E7/D7</f>
        <v>0.13615086413960295</v>
      </c>
      <c r="D7" s="230">
        <v>89511</v>
      </c>
      <c r="E7" s="231">
        <v>12187</v>
      </c>
      <c r="F7" s="229">
        <f>H7/G7</f>
        <v>1.5070328198258541E-2</v>
      </c>
      <c r="G7" s="230">
        <v>14930</v>
      </c>
      <c r="H7" s="231">
        <v>225</v>
      </c>
      <c r="I7" s="230">
        <f>E7+H7</f>
        <v>12412</v>
      </c>
    </row>
    <row r="8" spans="2:9" s="228" customFormat="1" ht="15" x14ac:dyDescent="0.25">
      <c r="B8" s="233" t="s">
        <v>663</v>
      </c>
      <c r="C8" s="234">
        <f>AVERAGE(C6:C7)</f>
        <v>0.32429208376825364</v>
      </c>
      <c r="D8" s="235">
        <f>D6+D7</f>
        <v>127369</v>
      </c>
      <c r="E8" s="236">
        <f>E6+E7</f>
        <v>31586.7</v>
      </c>
      <c r="F8" s="234">
        <f>AVERAGE(F6:F7)</f>
        <v>0.10939805258176181</v>
      </c>
      <c r="G8" s="235">
        <f>G7+G6</f>
        <v>23135</v>
      </c>
      <c r="H8" s="236">
        <f>H7+H6</f>
        <v>1896.57</v>
      </c>
    </row>
    <row r="9" spans="2:9" s="132" customFormat="1" x14ac:dyDescent="0.2"/>
    <row r="10" spans="2:9" s="132" customFormat="1" ht="15" x14ac:dyDescent="0.25">
      <c r="B10" s="228" t="s">
        <v>672</v>
      </c>
      <c r="C10" s="237">
        <f>AVERAGE(C8,F8)</f>
        <v>0.21684506817500773</v>
      </c>
    </row>
    <row r="11" spans="2:9" s="132" customFormat="1" ht="15" x14ac:dyDescent="0.25">
      <c r="B11" s="228" t="s">
        <v>664</v>
      </c>
      <c r="C11" s="238">
        <f>(E8+H8)/100</f>
        <v>334.83270000000005</v>
      </c>
      <c r="D11" s="228" t="s">
        <v>665</v>
      </c>
    </row>
    <row r="12" spans="2:9" s="132" customFormat="1" x14ac:dyDescent="0.2"/>
    <row r="13" spans="2:9" s="132" customFormat="1" x14ac:dyDescent="0.2"/>
    <row r="14" spans="2:9" s="132" customFormat="1" x14ac:dyDescent="0.2"/>
    <row r="15" spans="2:9" s="132" customFormat="1" x14ac:dyDescent="0.2"/>
    <row r="16" spans="2:9" s="132" customFormat="1" x14ac:dyDescent="0.2"/>
    <row r="17" s="132" customFormat="1" x14ac:dyDescent="0.2"/>
    <row r="18" s="132" customFormat="1" x14ac:dyDescent="0.2"/>
    <row r="61" s="132" customFormat="1" x14ac:dyDescent="0.2"/>
  </sheetData>
  <mergeCells count="2">
    <mergeCell ref="C4:E4"/>
    <mergeCell ref="F4:H4"/>
  </mergeCells>
  <pageMargins left="0.7" right="0.7" top="0.75" bottom="0.75" header="0.3" footer="0.3"/>
  <pageSetup paperSize="9" scale="68"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pageSetUpPr fitToPage="1"/>
  </sheetPr>
  <dimension ref="B2:Z45"/>
  <sheetViews>
    <sheetView tabSelected="1" zoomScale="85" zoomScaleNormal="85" zoomScaleSheetLayoutView="100" workbookViewId="0">
      <pane ySplit="4" topLeftCell="A5" activePane="bottomLeft" state="frozen"/>
      <selection activeCell="K22" sqref="K22"/>
      <selection pane="bottomLeft" activeCell="C4" sqref="C4:N35"/>
    </sheetView>
  </sheetViews>
  <sheetFormatPr defaultColWidth="8.85546875" defaultRowHeight="15" x14ac:dyDescent="0.25"/>
  <cols>
    <col min="1" max="2" width="8.85546875" style="54"/>
    <col min="3" max="3" width="81" style="54" customWidth="1"/>
    <col min="4" max="4" width="12.5703125" style="54" hidden="1" customWidth="1"/>
    <col min="5" max="6" width="11.140625" style="54" hidden="1" customWidth="1"/>
    <col min="7" max="7" width="11.140625" style="54" customWidth="1"/>
    <col min="8" max="8" width="12.7109375" style="54" customWidth="1"/>
    <col min="9" max="9" width="11.140625" style="54" hidden="1" customWidth="1"/>
    <col min="10" max="10" width="14.42578125" style="54" hidden="1" customWidth="1"/>
    <col min="11" max="12" width="16.140625" style="54" hidden="1" customWidth="1"/>
    <col min="13" max="14" width="16.140625" style="54" customWidth="1"/>
    <col min="15" max="15" width="16.140625" style="54" hidden="1" customWidth="1"/>
    <col min="16" max="16" width="14.5703125" style="54" hidden="1" customWidth="1"/>
    <col min="17" max="17" width="14.7109375" style="54" hidden="1" customWidth="1"/>
    <col min="18" max="18" width="8.85546875" style="54" hidden="1" customWidth="1"/>
    <col min="19" max="19" width="12.7109375" style="54" hidden="1" customWidth="1"/>
    <col min="20" max="25" width="8.85546875" style="54" customWidth="1"/>
    <col min="26" max="26" width="12.42578125" style="54" customWidth="1"/>
    <col min="27" max="16384" width="8.85546875" style="54"/>
  </cols>
  <sheetData>
    <row r="2" spans="2:26" ht="23.25" x14ac:dyDescent="0.35">
      <c r="B2" s="65" t="s">
        <v>382</v>
      </c>
    </row>
    <row r="4" spans="2:26" ht="60" x14ac:dyDescent="0.25">
      <c r="B4" s="114" t="s">
        <v>496</v>
      </c>
      <c r="C4" s="99" t="s">
        <v>324</v>
      </c>
      <c r="D4" s="99" t="s">
        <v>383</v>
      </c>
      <c r="E4" s="100" t="s">
        <v>384</v>
      </c>
      <c r="F4" s="100"/>
      <c r="G4" s="126" t="s">
        <v>859</v>
      </c>
      <c r="H4" s="126" t="s">
        <v>858</v>
      </c>
      <c r="I4" s="126" t="s">
        <v>711</v>
      </c>
      <c r="J4" s="126" t="s">
        <v>702</v>
      </c>
      <c r="K4" s="126" t="s">
        <v>701</v>
      </c>
      <c r="L4" s="126"/>
      <c r="M4" s="126" t="s">
        <v>860</v>
      </c>
      <c r="N4" s="126" t="s">
        <v>857</v>
      </c>
      <c r="O4" s="100" t="s">
        <v>722</v>
      </c>
      <c r="P4" s="126" t="s">
        <v>700</v>
      </c>
      <c r="Q4" s="126" t="s">
        <v>699</v>
      </c>
      <c r="R4" s="100" t="s">
        <v>383</v>
      </c>
      <c r="S4" s="100" t="s">
        <v>648</v>
      </c>
    </row>
    <row r="5" spans="2:26" s="55" customFormat="1" x14ac:dyDescent="0.25">
      <c r="B5" s="103">
        <v>1</v>
      </c>
      <c r="C5" s="259" t="s">
        <v>4</v>
      </c>
      <c r="D5" s="145"/>
      <c r="E5" s="145"/>
      <c r="F5" s="145"/>
      <c r="G5" s="145"/>
      <c r="H5" s="145"/>
      <c r="I5" s="145"/>
      <c r="J5" s="145"/>
      <c r="K5" s="145"/>
      <c r="L5" s="145"/>
      <c r="M5" s="145"/>
      <c r="N5" s="145"/>
      <c r="O5" s="145"/>
      <c r="P5" s="145"/>
      <c r="Q5" s="145"/>
      <c r="R5" s="145"/>
      <c r="S5" s="260"/>
    </row>
    <row r="6" spans="2:26" s="58" customFormat="1" x14ac:dyDescent="0.25">
      <c r="B6" s="59">
        <v>1.1000000000000001</v>
      </c>
      <c r="C6" s="59" t="s">
        <v>14</v>
      </c>
      <c r="D6" s="60">
        <v>220</v>
      </c>
      <c r="E6" s="60">
        <v>30</v>
      </c>
      <c r="F6" s="61">
        <v>1</v>
      </c>
      <c r="G6" s="61">
        <v>0</v>
      </c>
      <c r="H6" s="61">
        <v>0.6</v>
      </c>
      <c r="I6" s="61">
        <v>0</v>
      </c>
      <c r="J6" s="61">
        <v>0</v>
      </c>
      <c r="K6" s="61">
        <v>0.85</v>
      </c>
      <c r="L6" s="61">
        <v>1</v>
      </c>
      <c r="M6" s="61">
        <v>0.9</v>
      </c>
      <c r="N6" s="61">
        <v>0.9</v>
      </c>
      <c r="O6" s="61">
        <v>0.9</v>
      </c>
      <c r="P6" s="61">
        <v>0</v>
      </c>
      <c r="Q6" s="61">
        <v>0</v>
      </c>
      <c r="R6" s="60">
        <f>J6*D6</f>
        <v>0</v>
      </c>
      <c r="S6" s="60">
        <f>P6*E6</f>
        <v>0</v>
      </c>
      <c r="U6" s="119">
        <v>220</v>
      </c>
      <c r="V6" s="119">
        <v>30</v>
      </c>
      <c r="W6" s="119">
        <f t="shared" ref="W6:W41" si="0">U6*H6</f>
        <v>132</v>
      </c>
      <c r="X6" s="58">
        <f t="shared" ref="X6:X41" si="1">V6*N6</f>
        <v>27</v>
      </c>
      <c r="Z6" s="61"/>
    </row>
    <row r="7" spans="2:26" x14ac:dyDescent="0.25">
      <c r="B7" s="59">
        <v>1.2</v>
      </c>
      <c r="C7" s="59" t="s">
        <v>385</v>
      </c>
      <c r="D7" s="60">
        <v>1025</v>
      </c>
      <c r="E7" s="60">
        <v>225</v>
      </c>
      <c r="F7" s="61">
        <v>1</v>
      </c>
      <c r="G7" s="61">
        <v>0.8</v>
      </c>
      <c r="H7" s="61">
        <v>0.9</v>
      </c>
      <c r="I7" s="61">
        <v>0.75</v>
      </c>
      <c r="J7" s="61">
        <v>0.6</v>
      </c>
      <c r="K7" s="61">
        <v>0.15</v>
      </c>
      <c r="L7" s="61">
        <v>1</v>
      </c>
      <c r="M7" s="61">
        <v>0.9</v>
      </c>
      <c r="N7" s="61">
        <v>0.9</v>
      </c>
      <c r="O7" s="61">
        <v>0.9</v>
      </c>
      <c r="P7" s="61">
        <v>0.9</v>
      </c>
      <c r="Q7" s="61">
        <v>0.8</v>
      </c>
      <c r="R7" s="60">
        <f>J7*D7</f>
        <v>615</v>
      </c>
      <c r="S7" s="60">
        <f>P7*E7</f>
        <v>202.5</v>
      </c>
      <c r="U7" s="59">
        <v>1025</v>
      </c>
      <c r="V7" s="59">
        <v>225</v>
      </c>
      <c r="W7" s="119">
        <f t="shared" si="0"/>
        <v>922.5</v>
      </c>
      <c r="X7" s="58">
        <f t="shared" si="1"/>
        <v>202.5</v>
      </c>
    </row>
    <row r="8" spans="2:26" x14ac:dyDescent="0.25">
      <c r="B8" s="59">
        <v>1.3</v>
      </c>
      <c r="C8" s="59" t="s">
        <v>386</v>
      </c>
      <c r="D8" s="60">
        <v>540</v>
      </c>
      <c r="E8" s="60">
        <v>5</v>
      </c>
      <c r="F8" s="61">
        <v>1</v>
      </c>
      <c r="G8" s="61">
        <v>0.9</v>
      </c>
      <c r="H8" s="61">
        <v>0.9</v>
      </c>
      <c r="I8" s="61">
        <v>0.85</v>
      </c>
      <c r="J8" s="61">
        <v>0.6</v>
      </c>
      <c r="K8" s="61">
        <v>0.15</v>
      </c>
      <c r="L8" s="61">
        <v>1</v>
      </c>
      <c r="M8" s="61">
        <v>0.9</v>
      </c>
      <c r="N8" s="61">
        <v>0.9</v>
      </c>
      <c r="O8" s="61">
        <v>0.9</v>
      </c>
      <c r="P8" s="61">
        <v>0.9</v>
      </c>
      <c r="Q8" s="61">
        <v>0.8</v>
      </c>
      <c r="R8" s="60">
        <f>J8*D8</f>
        <v>324</v>
      </c>
      <c r="S8" s="60">
        <f>P8*E8</f>
        <v>4.5</v>
      </c>
      <c r="U8" s="59">
        <v>540</v>
      </c>
      <c r="V8" s="59">
        <v>5</v>
      </c>
      <c r="W8" s="119">
        <f t="shared" si="0"/>
        <v>486</v>
      </c>
      <c r="X8" s="58">
        <f t="shared" si="1"/>
        <v>4.5</v>
      </c>
    </row>
    <row r="9" spans="2:26" s="55" customFormat="1" hidden="1" x14ac:dyDescent="0.25">
      <c r="B9" s="57"/>
      <c r="C9" s="57" t="s">
        <v>16</v>
      </c>
      <c r="D9" s="62">
        <v>1785</v>
      </c>
      <c r="E9" s="62">
        <v>260</v>
      </c>
      <c r="F9" s="62"/>
      <c r="G9" s="62"/>
      <c r="H9" s="62"/>
      <c r="I9" s="62"/>
      <c r="J9" s="63">
        <f>AVERAGE(J6:J8)</f>
        <v>0.39999999999999997</v>
      </c>
      <c r="K9" s="63"/>
      <c r="L9" s="63"/>
      <c r="M9" s="63"/>
      <c r="N9" s="63"/>
      <c r="O9" s="63"/>
      <c r="P9" s="63">
        <f>AVERAGE(P6:P8)</f>
        <v>0.6</v>
      </c>
      <c r="Q9" s="63">
        <v>1</v>
      </c>
      <c r="R9" s="62">
        <f>R6+R7+R8</f>
        <v>939</v>
      </c>
      <c r="S9" s="62">
        <f>S6+S7+S8</f>
        <v>207</v>
      </c>
      <c r="U9" s="57"/>
      <c r="V9" s="57"/>
      <c r="W9" s="119">
        <f t="shared" si="0"/>
        <v>0</v>
      </c>
      <c r="X9" s="58">
        <f t="shared" si="1"/>
        <v>0</v>
      </c>
    </row>
    <row r="10" spans="2:26" s="55" customFormat="1" x14ac:dyDescent="0.25">
      <c r="B10" s="103">
        <v>2</v>
      </c>
      <c r="C10" s="259" t="s">
        <v>17</v>
      </c>
      <c r="D10" s="145"/>
      <c r="E10" s="145"/>
      <c r="F10" s="145"/>
      <c r="G10" s="145"/>
      <c r="H10" s="145"/>
      <c r="I10" s="145"/>
      <c r="J10" s="145"/>
      <c r="K10" s="145"/>
      <c r="L10" s="145"/>
      <c r="M10" s="145"/>
      <c r="N10" s="145"/>
      <c r="O10" s="145"/>
      <c r="P10" s="145"/>
      <c r="Q10" s="145"/>
      <c r="R10" s="145"/>
      <c r="S10" s="260"/>
      <c r="U10" s="57"/>
      <c r="V10" s="57"/>
      <c r="W10" s="119">
        <f t="shared" si="0"/>
        <v>0</v>
      </c>
      <c r="X10" s="58">
        <f t="shared" si="1"/>
        <v>0</v>
      </c>
    </row>
    <row r="11" spans="2:26" x14ac:dyDescent="0.25">
      <c r="B11" s="59">
        <v>2.1</v>
      </c>
      <c r="C11" s="59" t="s">
        <v>712</v>
      </c>
      <c r="D11" s="60">
        <v>110</v>
      </c>
      <c r="E11" s="102">
        <v>0</v>
      </c>
      <c r="F11" s="61">
        <v>1</v>
      </c>
      <c r="G11" s="61">
        <v>0.6</v>
      </c>
      <c r="H11" s="61">
        <v>0.9</v>
      </c>
      <c r="I11" s="61">
        <v>0.4</v>
      </c>
      <c r="J11" s="61">
        <v>0.2</v>
      </c>
      <c r="K11" s="61">
        <v>0.2</v>
      </c>
      <c r="L11" s="61">
        <v>1</v>
      </c>
      <c r="M11" s="61">
        <v>0.9</v>
      </c>
      <c r="N11" s="61">
        <v>0.9</v>
      </c>
      <c r="O11" s="61">
        <v>0.9</v>
      </c>
      <c r="P11" s="61">
        <v>0.85</v>
      </c>
      <c r="Q11" s="61">
        <v>0.4</v>
      </c>
      <c r="R11" s="60">
        <f t="shared" ref="R11:R16" si="2">J11*D11</f>
        <v>22</v>
      </c>
      <c r="S11" s="60">
        <f t="shared" ref="S11:S16" si="3">P11*E11</f>
        <v>0</v>
      </c>
      <c r="U11" s="59">
        <v>110</v>
      </c>
      <c r="V11" s="59"/>
      <c r="W11" s="119">
        <f t="shared" si="0"/>
        <v>99</v>
      </c>
      <c r="X11" s="58">
        <f t="shared" si="1"/>
        <v>0</v>
      </c>
    </row>
    <row r="12" spans="2:26" x14ac:dyDescent="0.25">
      <c r="B12" s="59">
        <v>2.2000000000000002</v>
      </c>
      <c r="C12" s="59" t="s">
        <v>388</v>
      </c>
      <c r="D12" s="60">
        <v>1365</v>
      </c>
      <c r="E12" s="60">
        <v>20</v>
      </c>
      <c r="F12" s="61">
        <v>1</v>
      </c>
      <c r="G12" s="61">
        <v>0.85</v>
      </c>
      <c r="H12" s="61">
        <v>0.9</v>
      </c>
      <c r="I12" s="61">
        <v>0.7</v>
      </c>
      <c r="J12" s="61">
        <v>0.05</v>
      </c>
      <c r="K12" s="61">
        <v>0</v>
      </c>
      <c r="L12" s="61">
        <v>1</v>
      </c>
      <c r="M12" s="61">
        <v>1</v>
      </c>
      <c r="N12" s="61">
        <v>1</v>
      </c>
      <c r="O12" s="61">
        <v>1</v>
      </c>
      <c r="P12" s="61">
        <v>1</v>
      </c>
      <c r="Q12" s="61">
        <v>0.9</v>
      </c>
      <c r="R12" s="60">
        <f t="shared" si="2"/>
        <v>68.25</v>
      </c>
      <c r="S12" s="60">
        <f t="shared" si="3"/>
        <v>20</v>
      </c>
      <c r="U12" s="59">
        <v>1365</v>
      </c>
      <c r="V12" s="59">
        <v>20</v>
      </c>
      <c r="W12" s="119">
        <f t="shared" si="0"/>
        <v>1228.5</v>
      </c>
      <c r="X12" s="58">
        <f t="shared" si="1"/>
        <v>20</v>
      </c>
    </row>
    <row r="13" spans="2:26" s="58" customFormat="1" x14ac:dyDescent="0.25">
      <c r="B13" s="59">
        <v>2.2999999999999998</v>
      </c>
      <c r="C13" s="59" t="s">
        <v>389</v>
      </c>
      <c r="D13" s="60">
        <v>210</v>
      </c>
      <c r="E13" s="60">
        <v>10</v>
      </c>
      <c r="F13" s="61">
        <v>1</v>
      </c>
      <c r="G13" s="61">
        <v>0.9</v>
      </c>
      <c r="H13" s="61">
        <v>0.95</v>
      </c>
      <c r="I13" s="61">
        <v>0.9</v>
      </c>
      <c r="J13" s="61">
        <v>0.4</v>
      </c>
      <c r="K13" s="61">
        <v>0</v>
      </c>
      <c r="L13" s="61">
        <v>1</v>
      </c>
      <c r="M13" s="61">
        <v>0.95</v>
      </c>
      <c r="N13" s="61">
        <v>0.95</v>
      </c>
      <c r="O13" s="61">
        <v>0.95</v>
      </c>
      <c r="P13" s="61">
        <v>0.95</v>
      </c>
      <c r="Q13" s="61">
        <v>0</v>
      </c>
      <c r="R13" s="60">
        <f t="shared" si="2"/>
        <v>84</v>
      </c>
      <c r="S13" s="60">
        <f t="shared" si="3"/>
        <v>9.5</v>
      </c>
      <c r="U13" s="119">
        <v>210</v>
      </c>
      <c r="V13" s="119">
        <v>10</v>
      </c>
      <c r="W13" s="119">
        <f t="shared" si="0"/>
        <v>199.5</v>
      </c>
      <c r="X13" s="58">
        <f t="shared" si="1"/>
        <v>9.5</v>
      </c>
    </row>
    <row r="14" spans="2:26" x14ac:dyDescent="0.25">
      <c r="B14" s="59">
        <v>2.4</v>
      </c>
      <c r="C14" s="59" t="s">
        <v>390</v>
      </c>
      <c r="D14" s="60">
        <v>460</v>
      </c>
      <c r="E14" s="60">
        <v>10</v>
      </c>
      <c r="F14" s="61">
        <v>1</v>
      </c>
      <c r="G14" s="61">
        <v>0.9</v>
      </c>
      <c r="H14" s="61">
        <v>0.95</v>
      </c>
      <c r="I14" s="61">
        <v>0.9</v>
      </c>
      <c r="J14" s="61">
        <v>0.6</v>
      </c>
      <c r="K14" s="61">
        <v>0.15</v>
      </c>
      <c r="L14" s="61">
        <v>1</v>
      </c>
      <c r="M14" s="61">
        <v>1</v>
      </c>
      <c r="N14" s="61">
        <v>1</v>
      </c>
      <c r="O14" s="61">
        <v>1</v>
      </c>
      <c r="P14" s="61">
        <v>1</v>
      </c>
      <c r="Q14" s="61">
        <v>0.55000000000000004</v>
      </c>
      <c r="R14" s="60">
        <f t="shared" si="2"/>
        <v>276</v>
      </c>
      <c r="S14" s="60">
        <f t="shared" si="3"/>
        <v>10</v>
      </c>
      <c r="U14" s="59">
        <v>460</v>
      </c>
      <c r="V14" s="59">
        <v>10</v>
      </c>
      <c r="W14" s="119">
        <f t="shared" si="0"/>
        <v>437</v>
      </c>
      <c r="X14" s="58">
        <f t="shared" si="1"/>
        <v>10</v>
      </c>
    </row>
    <row r="15" spans="2:26" x14ac:dyDescent="0.25">
      <c r="B15" s="59">
        <v>2.5</v>
      </c>
      <c r="C15" s="59" t="s">
        <v>391</v>
      </c>
      <c r="D15" s="60">
        <v>850</v>
      </c>
      <c r="E15" s="60">
        <v>10</v>
      </c>
      <c r="F15" s="61">
        <v>1</v>
      </c>
      <c r="G15" s="61">
        <v>0.85</v>
      </c>
      <c r="H15" s="61">
        <v>0.95</v>
      </c>
      <c r="I15" s="61">
        <v>0.7</v>
      </c>
      <c r="J15" s="61">
        <v>0.5</v>
      </c>
      <c r="K15" s="61">
        <v>0.15</v>
      </c>
      <c r="L15" s="61">
        <v>1</v>
      </c>
      <c r="M15" s="61">
        <v>0.9</v>
      </c>
      <c r="N15" s="61">
        <v>0.9</v>
      </c>
      <c r="O15" s="61">
        <v>0.9</v>
      </c>
      <c r="P15" s="61">
        <v>0.9</v>
      </c>
      <c r="Q15" s="61">
        <v>0.7</v>
      </c>
      <c r="R15" s="60">
        <f t="shared" si="2"/>
        <v>425</v>
      </c>
      <c r="S15" s="60">
        <f t="shared" si="3"/>
        <v>9</v>
      </c>
      <c r="U15" s="59">
        <v>850</v>
      </c>
      <c r="V15" s="59">
        <v>10</v>
      </c>
      <c r="W15" s="119">
        <f t="shared" si="0"/>
        <v>807.5</v>
      </c>
      <c r="X15" s="58">
        <f t="shared" si="1"/>
        <v>9</v>
      </c>
    </row>
    <row r="16" spans="2:26" s="58" customFormat="1" x14ac:dyDescent="0.25">
      <c r="B16" s="59">
        <v>2.6</v>
      </c>
      <c r="C16" s="59" t="s">
        <v>392</v>
      </c>
      <c r="D16" s="60">
        <v>105</v>
      </c>
      <c r="E16" s="60">
        <v>5</v>
      </c>
      <c r="F16" s="60">
        <v>0</v>
      </c>
      <c r="G16" s="60">
        <v>0</v>
      </c>
      <c r="H16" s="60">
        <v>0</v>
      </c>
      <c r="I16" s="61">
        <v>0</v>
      </c>
      <c r="J16" s="61">
        <v>0</v>
      </c>
      <c r="K16" s="61">
        <v>0</v>
      </c>
      <c r="L16" s="61">
        <v>1</v>
      </c>
      <c r="M16" s="61">
        <v>0</v>
      </c>
      <c r="N16" s="61">
        <v>0</v>
      </c>
      <c r="O16" s="61">
        <v>0</v>
      </c>
      <c r="P16" s="61">
        <v>0</v>
      </c>
      <c r="Q16" s="124">
        <v>0</v>
      </c>
      <c r="R16" s="60">
        <f t="shared" si="2"/>
        <v>0</v>
      </c>
      <c r="S16" s="60">
        <f t="shared" si="3"/>
        <v>0</v>
      </c>
      <c r="U16" s="119">
        <v>105</v>
      </c>
      <c r="V16" s="119">
        <v>5</v>
      </c>
      <c r="W16" s="119">
        <f t="shared" si="0"/>
        <v>0</v>
      </c>
      <c r="X16" s="58">
        <f t="shared" si="1"/>
        <v>0</v>
      </c>
    </row>
    <row r="17" spans="2:24" s="55" customFormat="1" ht="15" hidden="1" customHeight="1" x14ac:dyDescent="0.25">
      <c r="B17" s="57"/>
      <c r="C17" s="57" t="s">
        <v>30</v>
      </c>
      <c r="D17" s="62">
        <v>3100</v>
      </c>
      <c r="E17" s="62">
        <v>55</v>
      </c>
      <c r="F17" s="62"/>
      <c r="G17" s="62"/>
      <c r="H17" s="62"/>
      <c r="I17" s="62"/>
      <c r="J17" s="63">
        <f>AVERAGE(J11:J16)</f>
        <v>0.29166666666666669</v>
      </c>
      <c r="K17" s="63"/>
      <c r="L17" s="63"/>
      <c r="M17" s="63"/>
      <c r="N17" s="63"/>
      <c r="O17" s="63"/>
      <c r="P17" s="63">
        <f>AVERAGE(P11:P16)</f>
        <v>0.78333333333333333</v>
      </c>
      <c r="Q17" s="63"/>
      <c r="R17" s="62">
        <f>SUM(R11:R16)</f>
        <v>875.25</v>
      </c>
      <c r="S17" s="62">
        <f>SUM(S11:S16)</f>
        <v>48.5</v>
      </c>
      <c r="U17" s="57"/>
      <c r="V17" s="57"/>
      <c r="W17" s="119">
        <f t="shared" si="0"/>
        <v>0</v>
      </c>
      <c r="X17" s="58">
        <f t="shared" si="1"/>
        <v>0</v>
      </c>
    </row>
    <row r="18" spans="2:24" s="55" customFormat="1" x14ac:dyDescent="0.25">
      <c r="B18" s="103">
        <v>3</v>
      </c>
      <c r="C18" s="259" t="s">
        <v>31</v>
      </c>
      <c r="D18" s="145"/>
      <c r="E18" s="145"/>
      <c r="F18" s="145"/>
      <c r="G18" s="145"/>
      <c r="H18" s="145"/>
      <c r="I18" s="145"/>
      <c r="J18" s="145"/>
      <c r="K18" s="145"/>
      <c r="L18" s="145"/>
      <c r="M18" s="145"/>
      <c r="N18" s="145"/>
      <c r="O18" s="145"/>
      <c r="P18" s="145"/>
      <c r="Q18" s="145"/>
      <c r="R18" s="145"/>
      <c r="S18" s="260"/>
      <c r="U18" s="57"/>
      <c r="V18" s="57"/>
      <c r="W18" s="119">
        <f t="shared" si="0"/>
        <v>0</v>
      </c>
      <c r="X18" s="58">
        <f t="shared" si="1"/>
        <v>0</v>
      </c>
    </row>
    <row r="19" spans="2:24" s="58" customFormat="1" x14ac:dyDescent="0.25">
      <c r="B19" s="59">
        <v>3.1</v>
      </c>
      <c r="C19" s="59" t="s">
        <v>393</v>
      </c>
      <c r="D19" s="60">
        <v>90</v>
      </c>
      <c r="E19" s="60">
        <v>30</v>
      </c>
      <c r="F19" s="193">
        <v>1</v>
      </c>
      <c r="G19" s="193">
        <v>0.6</v>
      </c>
      <c r="H19" s="193">
        <v>0.85</v>
      </c>
      <c r="I19" s="193">
        <v>0.5</v>
      </c>
      <c r="J19" s="193">
        <v>0.5</v>
      </c>
      <c r="K19" s="193">
        <v>0.5</v>
      </c>
      <c r="L19" s="193">
        <v>1</v>
      </c>
      <c r="M19" s="193">
        <v>0.7</v>
      </c>
      <c r="N19" s="193">
        <v>0.85</v>
      </c>
      <c r="O19" s="193">
        <v>0.5</v>
      </c>
      <c r="P19" s="61">
        <v>0</v>
      </c>
      <c r="Q19" s="61">
        <v>0</v>
      </c>
      <c r="R19" s="60">
        <f t="shared" ref="R19:R28" si="4">J19*D19</f>
        <v>45</v>
      </c>
      <c r="S19" s="60">
        <f t="shared" ref="S19:S28" si="5">P19*E19</f>
        <v>0</v>
      </c>
      <c r="U19" s="119">
        <v>90</v>
      </c>
      <c r="V19" s="119">
        <v>30</v>
      </c>
      <c r="W19" s="119">
        <f t="shared" si="0"/>
        <v>76.5</v>
      </c>
      <c r="X19" s="58">
        <f t="shared" si="1"/>
        <v>25.5</v>
      </c>
    </row>
    <row r="20" spans="2:24" x14ac:dyDescent="0.25">
      <c r="B20" s="59">
        <v>3.2</v>
      </c>
      <c r="C20" s="59" t="s">
        <v>394</v>
      </c>
      <c r="D20" s="60">
        <v>380</v>
      </c>
      <c r="E20" s="60">
        <v>0</v>
      </c>
      <c r="F20" s="61">
        <v>1</v>
      </c>
      <c r="G20" s="61">
        <v>0.85</v>
      </c>
      <c r="H20" s="61">
        <v>0.9</v>
      </c>
      <c r="I20" s="61">
        <v>0.85</v>
      </c>
      <c r="J20" s="61">
        <v>0.85</v>
      </c>
      <c r="K20" s="61">
        <v>0.45</v>
      </c>
      <c r="L20" s="61">
        <v>1</v>
      </c>
      <c r="M20" s="61">
        <v>0.95</v>
      </c>
      <c r="N20" s="61">
        <v>0.95</v>
      </c>
      <c r="O20" s="61">
        <v>0.95</v>
      </c>
      <c r="P20" s="61">
        <v>0.95</v>
      </c>
      <c r="Q20" s="61">
        <v>0.7</v>
      </c>
      <c r="R20" s="60">
        <f t="shared" si="4"/>
        <v>323</v>
      </c>
      <c r="S20" s="60">
        <f t="shared" si="5"/>
        <v>0</v>
      </c>
      <c r="U20" s="59">
        <v>380</v>
      </c>
      <c r="V20" s="59">
        <v>0</v>
      </c>
      <c r="W20" s="119">
        <f t="shared" si="0"/>
        <v>342</v>
      </c>
      <c r="X20" s="58">
        <f t="shared" si="1"/>
        <v>0</v>
      </c>
    </row>
    <row r="21" spans="2:24" x14ac:dyDescent="0.25">
      <c r="B21" s="59">
        <v>3.3</v>
      </c>
      <c r="C21" s="59" t="s">
        <v>395</v>
      </c>
      <c r="D21" s="60">
        <v>210</v>
      </c>
      <c r="E21" s="60">
        <v>10</v>
      </c>
      <c r="F21" s="61">
        <v>1</v>
      </c>
      <c r="G21" s="61">
        <v>0.7</v>
      </c>
      <c r="H21" s="61">
        <v>0.85</v>
      </c>
      <c r="I21" s="61">
        <v>0.7</v>
      </c>
      <c r="J21" s="61">
        <v>0.45</v>
      </c>
      <c r="K21" s="61">
        <v>0.45</v>
      </c>
      <c r="L21" s="61">
        <v>1</v>
      </c>
      <c r="M21" s="61">
        <v>0.9</v>
      </c>
      <c r="N21" s="61">
        <v>0.9</v>
      </c>
      <c r="O21" s="61">
        <v>0.9</v>
      </c>
      <c r="P21" s="61">
        <v>0.5</v>
      </c>
      <c r="Q21" s="61">
        <v>0.5</v>
      </c>
      <c r="R21" s="60">
        <f t="shared" si="4"/>
        <v>94.5</v>
      </c>
      <c r="S21" s="60">
        <f t="shared" si="5"/>
        <v>5</v>
      </c>
      <c r="U21" s="59">
        <v>210</v>
      </c>
      <c r="V21" s="59">
        <v>10</v>
      </c>
      <c r="W21" s="119">
        <f t="shared" si="0"/>
        <v>178.5</v>
      </c>
      <c r="X21" s="58">
        <f t="shared" si="1"/>
        <v>9</v>
      </c>
    </row>
    <row r="22" spans="2:24" s="58" customFormat="1" x14ac:dyDescent="0.25">
      <c r="B22" s="59">
        <v>3.5</v>
      </c>
      <c r="C22" s="59" t="s">
        <v>396</v>
      </c>
      <c r="D22" s="60">
        <v>45</v>
      </c>
      <c r="E22" s="60">
        <v>8</v>
      </c>
      <c r="F22" s="61">
        <v>1</v>
      </c>
      <c r="G22" s="61">
        <v>0.9</v>
      </c>
      <c r="H22" s="61">
        <v>0.9</v>
      </c>
      <c r="I22" s="61">
        <v>0.9</v>
      </c>
      <c r="J22" s="61">
        <v>0.9</v>
      </c>
      <c r="K22" s="61">
        <v>0</v>
      </c>
      <c r="L22" s="61">
        <v>1</v>
      </c>
      <c r="M22" s="61">
        <v>0.9</v>
      </c>
      <c r="N22" s="61">
        <v>0.9</v>
      </c>
      <c r="O22" s="61">
        <v>0.9</v>
      </c>
      <c r="P22" s="61">
        <v>0.9</v>
      </c>
      <c r="Q22" s="61">
        <v>0</v>
      </c>
      <c r="R22" s="60">
        <f t="shared" si="4"/>
        <v>40.5</v>
      </c>
      <c r="S22" s="60">
        <f t="shared" si="5"/>
        <v>7.2</v>
      </c>
      <c r="U22" s="119">
        <v>45</v>
      </c>
      <c r="V22" s="119">
        <v>8</v>
      </c>
      <c r="W22" s="119">
        <f t="shared" si="0"/>
        <v>40.5</v>
      </c>
      <c r="X22" s="58">
        <f t="shared" si="1"/>
        <v>7.2</v>
      </c>
    </row>
    <row r="23" spans="2:24" s="58" customFormat="1" x14ac:dyDescent="0.25">
      <c r="B23" s="59">
        <v>3.6</v>
      </c>
      <c r="C23" s="59" t="s">
        <v>397</v>
      </c>
      <c r="D23" s="60">
        <v>150</v>
      </c>
      <c r="E23" s="101">
        <v>0</v>
      </c>
      <c r="F23" s="61">
        <v>1</v>
      </c>
      <c r="G23" s="61">
        <v>0.8</v>
      </c>
      <c r="H23" s="61">
        <v>0.9</v>
      </c>
      <c r="I23" s="61">
        <v>0.6</v>
      </c>
      <c r="J23" s="61">
        <v>0.1</v>
      </c>
      <c r="K23" s="61">
        <v>0.1</v>
      </c>
      <c r="L23" s="61">
        <v>1</v>
      </c>
      <c r="M23" s="61">
        <v>0.85</v>
      </c>
      <c r="N23" s="61">
        <v>0.9</v>
      </c>
      <c r="O23" s="61">
        <v>0.75</v>
      </c>
      <c r="P23" s="61">
        <v>0.7</v>
      </c>
      <c r="Q23" s="61">
        <v>0.1</v>
      </c>
      <c r="R23" s="60">
        <f t="shared" si="4"/>
        <v>15</v>
      </c>
      <c r="S23" s="60">
        <f t="shared" si="5"/>
        <v>0</v>
      </c>
      <c r="U23" s="119">
        <v>150</v>
      </c>
      <c r="V23" s="119"/>
      <c r="W23" s="119">
        <f t="shared" si="0"/>
        <v>135</v>
      </c>
      <c r="X23" s="58">
        <f t="shared" si="1"/>
        <v>0</v>
      </c>
    </row>
    <row r="24" spans="2:24" s="58" customFormat="1" x14ac:dyDescent="0.25">
      <c r="B24" s="59">
        <v>3.7</v>
      </c>
      <c r="C24" s="59" t="s">
        <v>398</v>
      </c>
      <c r="D24" s="60">
        <v>110</v>
      </c>
      <c r="E24" s="60">
        <v>10</v>
      </c>
      <c r="F24" s="61">
        <v>1</v>
      </c>
      <c r="G24" s="61">
        <v>0.75</v>
      </c>
      <c r="H24" s="61">
        <v>0.9</v>
      </c>
      <c r="I24" s="61">
        <v>0.75</v>
      </c>
      <c r="J24" s="61">
        <v>0.25</v>
      </c>
      <c r="K24" s="61">
        <v>0.25</v>
      </c>
      <c r="L24" s="61">
        <v>1</v>
      </c>
      <c r="M24" s="61">
        <v>0.9</v>
      </c>
      <c r="N24" s="61">
        <v>0.9</v>
      </c>
      <c r="O24" s="61">
        <v>0.9</v>
      </c>
      <c r="P24" s="61">
        <v>0.3</v>
      </c>
      <c r="Q24" s="61">
        <v>0.3</v>
      </c>
      <c r="R24" s="60">
        <f t="shared" si="4"/>
        <v>27.5</v>
      </c>
      <c r="S24" s="60">
        <f t="shared" si="5"/>
        <v>3</v>
      </c>
      <c r="U24" s="119">
        <v>110</v>
      </c>
      <c r="V24" s="119">
        <v>10</v>
      </c>
      <c r="W24" s="119">
        <f t="shared" si="0"/>
        <v>99</v>
      </c>
      <c r="X24" s="58">
        <f t="shared" si="1"/>
        <v>9</v>
      </c>
    </row>
    <row r="25" spans="2:24" x14ac:dyDescent="0.25">
      <c r="B25" s="59">
        <v>3.8</v>
      </c>
      <c r="C25" s="59" t="s">
        <v>399</v>
      </c>
      <c r="D25" s="60">
        <v>5</v>
      </c>
      <c r="E25" s="60">
        <v>15</v>
      </c>
      <c r="F25" s="61">
        <v>1</v>
      </c>
      <c r="G25" s="61">
        <v>0.9</v>
      </c>
      <c r="H25" s="61">
        <v>0.9</v>
      </c>
      <c r="I25" s="61">
        <v>0.9</v>
      </c>
      <c r="J25" s="61">
        <v>0.7</v>
      </c>
      <c r="K25" s="61">
        <v>0.7</v>
      </c>
      <c r="L25" s="61">
        <v>1</v>
      </c>
      <c r="M25" s="61">
        <v>0.9</v>
      </c>
      <c r="N25" s="61">
        <v>0.9</v>
      </c>
      <c r="O25" s="61">
        <v>0.9</v>
      </c>
      <c r="P25" s="61">
        <v>0.9</v>
      </c>
      <c r="Q25" s="61">
        <v>0.85</v>
      </c>
      <c r="R25" s="60">
        <f t="shared" si="4"/>
        <v>3.5</v>
      </c>
      <c r="S25" s="60">
        <f t="shared" si="5"/>
        <v>13.5</v>
      </c>
      <c r="U25" s="59">
        <v>5</v>
      </c>
      <c r="V25" s="59">
        <v>15</v>
      </c>
      <c r="W25" s="119">
        <f t="shared" si="0"/>
        <v>4.5</v>
      </c>
      <c r="X25" s="58">
        <f t="shared" si="1"/>
        <v>13.5</v>
      </c>
    </row>
    <row r="26" spans="2:24" s="58" customFormat="1" x14ac:dyDescent="0.25">
      <c r="B26" s="59">
        <v>3.9</v>
      </c>
      <c r="C26" s="59" t="s">
        <v>400</v>
      </c>
      <c r="D26" s="60">
        <v>165</v>
      </c>
      <c r="E26" s="60">
        <v>35</v>
      </c>
      <c r="F26" s="61">
        <v>1</v>
      </c>
      <c r="G26" s="61">
        <v>0.7</v>
      </c>
      <c r="H26" s="61">
        <v>0.95</v>
      </c>
      <c r="I26" s="61">
        <v>0.7</v>
      </c>
      <c r="J26" s="61">
        <v>0</v>
      </c>
      <c r="K26" s="61">
        <v>0</v>
      </c>
      <c r="L26" s="61">
        <v>1</v>
      </c>
      <c r="M26" s="61">
        <v>0.9</v>
      </c>
      <c r="N26" s="61">
        <v>0.95</v>
      </c>
      <c r="O26" s="61">
        <v>0.9</v>
      </c>
      <c r="P26" s="61">
        <v>0.5</v>
      </c>
      <c r="Q26" s="61">
        <v>0</v>
      </c>
      <c r="R26" s="60">
        <f t="shared" si="4"/>
        <v>0</v>
      </c>
      <c r="S26" s="60">
        <f t="shared" si="5"/>
        <v>17.5</v>
      </c>
      <c r="U26" s="119">
        <v>165</v>
      </c>
      <c r="V26" s="119">
        <v>35</v>
      </c>
      <c r="W26" s="119">
        <f t="shared" si="0"/>
        <v>156.75</v>
      </c>
      <c r="X26" s="58">
        <f t="shared" si="1"/>
        <v>33.25</v>
      </c>
    </row>
    <row r="27" spans="2:24" s="58" customFormat="1" x14ac:dyDescent="0.25">
      <c r="B27" s="59">
        <v>3.1</v>
      </c>
      <c r="C27" s="59" t="s">
        <v>401</v>
      </c>
      <c r="D27" s="60">
        <v>45</v>
      </c>
      <c r="E27" s="60">
        <v>0</v>
      </c>
      <c r="F27" s="61">
        <v>1</v>
      </c>
      <c r="G27" s="61">
        <v>0.75</v>
      </c>
      <c r="H27" s="61">
        <v>0.85</v>
      </c>
      <c r="I27" s="61">
        <v>0.6</v>
      </c>
      <c r="J27" s="61">
        <v>0.6</v>
      </c>
      <c r="K27" s="61">
        <v>0.6</v>
      </c>
      <c r="L27" s="61">
        <v>1</v>
      </c>
      <c r="M27" s="61">
        <v>0.9</v>
      </c>
      <c r="N27" s="61">
        <v>0.9</v>
      </c>
      <c r="O27" s="61">
        <v>0.9</v>
      </c>
      <c r="P27" s="61">
        <v>0.5</v>
      </c>
      <c r="Q27" s="61">
        <v>0</v>
      </c>
      <c r="R27" s="60">
        <f t="shared" si="4"/>
        <v>27</v>
      </c>
      <c r="S27" s="60">
        <f t="shared" si="5"/>
        <v>0</v>
      </c>
      <c r="U27" s="119">
        <v>45</v>
      </c>
      <c r="V27" s="119">
        <v>0</v>
      </c>
      <c r="W27" s="119">
        <f t="shared" si="0"/>
        <v>38.25</v>
      </c>
      <c r="X27" s="58">
        <f t="shared" si="1"/>
        <v>0</v>
      </c>
    </row>
    <row r="28" spans="2:24" x14ac:dyDescent="0.25">
      <c r="B28" s="59">
        <v>3.11</v>
      </c>
      <c r="C28" s="59" t="s">
        <v>402</v>
      </c>
      <c r="D28" s="60">
        <v>20</v>
      </c>
      <c r="E28" s="60">
        <v>0</v>
      </c>
      <c r="F28" s="61">
        <v>1</v>
      </c>
      <c r="G28" s="61">
        <v>0.6</v>
      </c>
      <c r="H28" s="61">
        <v>0.75</v>
      </c>
      <c r="I28" s="61">
        <v>0.5</v>
      </c>
      <c r="J28" s="61">
        <v>0.2</v>
      </c>
      <c r="K28" s="61">
        <v>0.2</v>
      </c>
      <c r="L28" s="61">
        <v>1</v>
      </c>
      <c r="M28" s="61">
        <v>0.6</v>
      </c>
      <c r="N28" s="61">
        <v>0.75</v>
      </c>
      <c r="O28" s="61">
        <v>0.6</v>
      </c>
      <c r="P28" s="61">
        <v>0.25</v>
      </c>
      <c r="Q28" s="61">
        <v>0.25</v>
      </c>
      <c r="R28" s="60">
        <f t="shared" si="4"/>
        <v>4</v>
      </c>
      <c r="S28" s="60">
        <f t="shared" si="5"/>
        <v>0</v>
      </c>
      <c r="U28" s="59">
        <v>20</v>
      </c>
      <c r="V28" s="59">
        <v>0</v>
      </c>
      <c r="W28" s="119">
        <f t="shared" si="0"/>
        <v>15</v>
      </c>
      <c r="X28" s="58">
        <f t="shared" si="1"/>
        <v>0</v>
      </c>
    </row>
    <row r="29" spans="2:24" s="55" customFormat="1" ht="15" hidden="1" customHeight="1" x14ac:dyDescent="0.25">
      <c r="B29" s="57"/>
      <c r="C29" s="57" t="s">
        <v>44</v>
      </c>
      <c r="D29" s="62">
        <v>1220</v>
      </c>
      <c r="E29" s="62">
        <v>108</v>
      </c>
      <c r="F29" s="62"/>
      <c r="G29" s="62"/>
      <c r="H29" s="62"/>
      <c r="I29" s="62"/>
      <c r="J29" s="63">
        <f>AVERAGE(J19:J28)</f>
        <v>0.45499999999999996</v>
      </c>
      <c r="K29" s="63"/>
      <c r="L29" s="63"/>
      <c r="M29" s="63"/>
      <c r="N29" s="63"/>
      <c r="O29" s="63"/>
      <c r="P29" s="63">
        <f>AVERAGE(P19:P28)</f>
        <v>0.55000000000000004</v>
      </c>
      <c r="Q29" s="63"/>
      <c r="R29" s="62">
        <f>SUM(R19:R28)</f>
        <v>580</v>
      </c>
      <c r="S29" s="62">
        <f>SUM(S19:S28)</f>
        <v>46.2</v>
      </c>
      <c r="U29" s="57"/>
      <c r="V29" s="57"/>
      <c r="W29" s="119">
        <f t="shared" si="0"/>
        <v>0</v>
      </c>
      <c r="X29" s="58">
        <f t="shared" si="1"/>
        <v>0</v>
      </c>
    </row>
    <row r="30" spans="2:24" s="55" customFormat="1" x14ac:dyDescent="0.25">
      <c r="B30" s="103">
        <v>4</v>
      </c>
      <c r="C30" s="259" t="s">
        <v>403</v>
      </c>
      <c r="D30" s="145"/>
      <c r="E30" s="145"/>
      <c r="F30" s="145"/>
      <c r="G30" s="145"/>
      <c r="H30" s="145"/>
      <c r="I30" s="145"/>
      <c r="J30" s="145"/>
      <c r="K30" s="145"/>
      <c r="L30" s="145"/>
      <c r="M30" s="145"/>
      <c r="N30" s="145"/>
      <c r="O30" s="145"/>
      <c r="P30" s="145"/>
      <c r="Q30" s="145"/>
      <c r="R30" s="145"/>
      <c r="S30" s="260"/>
      <c r="U30" s="57"/>
      <c r="V30" s="57"/>
      <c r="W30" s="119">
        <f t="shared" si="0"/>
        <v>0</v>
      </c>
      <c r="X30" s="58">
        <f t="shared" si="1"/>
        <v>0</v>
      </c>
    </row>
    <row r="31" spans="2:24" s="58" customFormat="1" x14ac:dyDescent="0.25">
      <c r="B31" s="59">
        <v>4.0999999999999996</v>
      </c>
      <c r="C31" s="59" t="s">
        <v>404</v>
      </c>
      <c r="D31" s="60">
        <v>65</v>
      </c>
      <c r="E31" s="102">
        <v>0</v>
      </c>
      <c r="F31" s="102"/>
      <c r="G31" s="61">
        <v>0</v>
      </c>
      <c r="H31" s="61">
        <v>0</v>
      </c>
      <c r="I31" s="61">
        <v>0</v>
      </c>
      <c r="J31" s="61">
        <v>0</v>
      </c>
      <c r="K31" s="61">
        <v>0</v>
      </c>
      <c r="L31" s="61"/>
      <c r="M31" s="61">
        <v>0</v>
      </c>
      <c r="N31" s="61">
        <v>0</v>
      </c>
      <c r="O31" s="61">
        <v>0</v>
      </c>
      <c r="P31" s="61">
        <v>0</v>
      </c>
      <c r="Q31" s="61">
        <v>0</v>
      </c>
      <c r="R31" s="60">
        <f>J31*D31</f>
        <v>0</v>
      </c>
      <c r="S31" s="60">
        <f>P31*E31</f>
        <v>0</v>
      </c>
      <c r="U31" s="119">
        <v>65</v>
      </c>
      <c r="V31" s="119"/>
      <c r="W31" s="119">
        <f t="shared" si="0"/>
        <v>0</v>
      </c>
      <c r="X31" s="58">
        <f t="shared" si="1"/>
        <v>0</v>
      </c>
    </row>
    <row r="32" spans="2:24" s="58" customFormat="1" x14ac:dyDescent="0.25">
      <c r="B32" s="59">
        <v>4.2</v>
      </c>
      <c r="C32" s="59" t="s">
        <v>405</v>
      </c>
      <c r="D32" s="60">
        <v>20</v>
      </c>
      <c r="E32" s="102">
        <v>0</v>
      </c>
      <c r="F32" s="102"/>
      <c r="G32" s="61">
        <v>0</v>
      </c>
      <c r="H32" s="61">
        <v>0.5</v>
      </c>
      <c r="I32" s="61">
        <v>0</v>
      </c>
      <c r="J32" s="61">
        <v>0</v>
      </c>
      <c r="K32" s="61">
        <v>0</v>
      </c>
      <c r="L32" s="61"/>
      <c r="M32" s="61">
        <v>0</v>
      </c>
      <c r="N32" s="61">
        <v>0.5</v>
      </c>
      <c r="O32" s="61">
        <v>0</v>
      </c>
      <c r="P32" s="61">
        <v>0</v>
      </c>
      <c r="Q32" s="61">
        <v>0</v>
      </c>
      <c r="R32" s="60">
        <f>J32*D32</f>
        <v>0</v>
      </c>
      <c r="S32" s="60">
        <f>P32*E32</f>
        <v>0</v>
      </c>
      <c r="T32" s="261">
        <v>1</v>
      </c>
      <c r="U32" s="119">
        <v>20</v>
      </c>
      <c r="V32" s="119"/>
      <c r="W32" s="119">
        <f t="shared" si="0"/>
        <v>10</v>
      </c>
      <c r="X32" s="58">
        <f t="shared" si="1"/>
        <v>0</v>
      </c>
    </row>
    <row r="33" spans="2:24" s="58" customFormat="1" x14ac:dyDescent="0.25">
      <c r="B33" s="59">
        <v>4.3</v>
      </c>
      <c r="C33" s="59" t="s">
        <v>406</v>
      </c>
      <c r="D33" s="60">
        <v>65</v>
      </c>
      <c r="E33" s="102">
        <v>0</v>
      </c>
      <c r="F33" s="102"/>
      <c r="G33" s="61">
        <v>0</v>
      </c>
      <c r="H33" s="61">
        <v>0</v>
      </c>
      <c r="I33" s="61">
        <v>0</v>
      </c>
      <c r="J33" s="61">
        <v>0</v>
      </c>
      <c r="K33" s="61">
        <v>0</v>
      </c>
      <c r="L33" s="61"/>
      <c r="M33" s="61">
        <v>0</v>
      </c>
      <c r="N33" s="61">
        <v>0</v>
      </c>
      <c r="O33" s="61">
        <v>0</v>
      </c>
      <c r="P33" s="61">
        <v>0</v>
      </c>
      <c r="Q33" s="61">
        <v>0</v>
      </c>
      <c r="R33" s="60">
        <f>J33*D33</f>
        <v>0</v>
      </c>
      <c r="S33" s="60">
        <f>P33*E33</f>
        <v>0</v>
      </c>
      <c r="U33" s="119">
        <v>65</v>
      </c>
      <c r="V33" s="119"/>
      <c r="W33" s="119">
        <f t="shared" si="0"/>
        <v>0</v>
      </c>
      <c r="X33" s="58">
        <f t="shared" si="1"/>
        <v>0</v>
      </c>
    </row>
    <row r="34" spans="2:24" s="58" customFormat="1" x14ac:dyDescent="0.25">
      <c r="B34" s="59">
        <v>4.4000000000000004</v>
      </c>
      <c r="C34" s="59" t="s">
        <v>50</v>
      </c>
      <c r="D34" s="60">
        <v>80</v>
      </c>
      <c r="E34" s="102">
        <v>0</v>
      </c>
      <c r="F34" s="102"/>
      <c r="G34" s="61">
        <v>0</v>
      </c>
      <c r="H34" s="61">
        <v>0</v>
      </c>
      <c r="I34" s="61">
        <v>0</v>
      </c>
      <c r="J34" s="61">
        <v>0</v>
      </c>
      <c r="K34" s="61">
        <v>0</v>
      </c>
      <c r="L34" s="61"/>
      <c r="M34" s="61">
        <v>0</v>
      </c>
      <c r="N34" s="61">
        <v>0</v>
      </c>
      <c r="O34" s="61">
        <v>0</v>
      </c>
      <c r="P34" s="61">
        <v>0</v>
      </c>
      <c r="Q34" s="61">
        <v>0</v>
      </c>
      <c r="R34" s="60">
        <f>J34*D34</f>
        <v>0</v>
      </c>
      <c r="S34" s="60">
        <f>P34*E34</f>
        <v>0</v>
      </c>
      <c r="U34" s="119">
        <v>80</v>
      </c>
      <c r="V34" s="119"/>
      <c r="W34" s="119">
        <f t="shared" si="0"/>
        <v>0</v>
      </c>
      <c r="X34" s="58">
        <f t="shared" si="1"/>
        <v>0</v>
      </c>
    </row>
    <row r="35" spans="2:24" s="58" customFormat="1" x14ac:dyDescent="0.25">
      <c r="B35" s="59">
        <v>4.5</v>
      </c>
      <c r="C35" s="59" t="s">
        <v>52</v>
      </c>
      <c r="D35" s="60">
        <v>20</v>
      </c>
      <c r="E35" s="102">
        <v>0</v>
      </c>
      <c r="F35" s="102"/>
      <c r="G35" s="61">
        <v>0</v>
      </c>
      <c r="H35" s="61">
        <v>0</v>
      </c>
      <c r="I35" s="61">
        <v>0</v>
      </c>
      <c r="J35" s="61">
        <v>0</v>
      </c>
      <c r="K35" s="61">
        <v>0</v>
      </c>
      <c r="L35" s="61"/>
      <c r="M35" s="61">
        <v>0</v>
      </c>
      <c r="N35" s="61">
        <v>0</v>
      </c>
      <c r="O35" s="61">
        <v>0</v>
      </c>
      <c r="P35" s="61">
        <v>0</v>
      </c>
      <c r="Q35" s="61">
        <v>0</v>
      </c>
      <c r="R35" s="60">
        <f>J35*D35</f>
        <v>0</v>
      </c>
      <c r="S35" s="60">
        <f>P35*E35</f>
        <v>0</v>
      </c>
      <c r="U35" s="119">
        <v>20</v>
      </c>
      <c r="V35" s="119"/>
      <c r="W35" s="119">
        <f t="shared" si="0"/>
        <v>0</v>
      </c>
      <c r="X35" s="58">
        <f t="shared" si="1"/>
        <v>0</v>
      </c>
    </row>
    <row r="36" spans="2:24" s="55" customFormat="1" ht="15" customHeight="1" x14ac:dyDescent="0.25">
      <c r="B36" s="57"/>
      <c r="C36" s="57" t="s">
        <v>53</v>
      </c>
      <c r="D36" s="62">
        <v>250</v>
      </c>
      <c r="E36" s="62">
        <v>0</v>
      </c>
      <c r="F36" s="62"/>
      <c r="G36" s="61">
        <v>0</v>
      </c>
      <c r="H36" s="61">
        <v>0</v>
      </c>
      <c r="I36" s="61">
        <v>0</v>
      </c>
      <c r="J36" s="61">
        <v>0</v>
      </c>
      <c r="K36" s="61">
        <v>0</v>
      </c>
      <c r="L36" s="61"/>
      <c r="M36" s="61">
        <v>0</v>
      </c>
      <c r="N36" s="61">
        <v>0</v>
      </c>
      <c r="O36" s="61">
        <v>0</v>
      </c>
      <c r="P36" s="63">
        <f>AVERAGE(P31:P35)</f>
        <v>0</v>
      </c>
      <c r="Q36" s="63">
        <f>AVERAGE(Q31:Q35)</f>
        <v>0</v>
      </c>
      <c r="R36" s="62">
        <f>SUM(R31:R35)</f>
        <v>0</v>
      </c>
      <c r="S36" s="62">
        <f>SUM(S31:S35)</f>
        <v>0</v>
      </c>
      <c r="U36" s="57"/>
      <c r="V36" s="57"/>
      <c r="W36" s="119">
        <f t="shared" si="0"/>
        <v>0</v>
      </c>
      <c r="X36" s="58">
        <f t="shared" si="1"/>
        <v>0</v>
      </c>
    </row>
    <row r="37" spans="2:24" x14ac:dyDescent="0.25">
      <c r="B37" s="59">
        <v>7</v>
      </c>
      <c r="C37" s="57" t="s">
        <v>407</v>
      </c>
      <c r="D37" s="62">
        <f>D9+D17+D29+D36</f>
        <v>6355</v>
      </c>
      <c r="E37" s="62">
        <f>E9+E17+E29+E36</f>
        <v>423</v>
      </c>
      <c r="F37" s="62"/>
      <c r="G37" s="61">
        <v>0</v>
      </c>
      <c r="H37" s="61">
        <v>0</v>
      </c>
      <c r="I37" s="61">
        <v>0</v>
      </c>
      <c r="J37" s="61">
        <v>0</v>
      </c>
      <c r="K37" s="61">
        <v>0</v>
      </c>
      <c r="L37" s="61"/>
      <c r="M37" s="61">
        <v>0</v>
      </c>
      <c r="N37" s="61">
        <v>0</v>
      </c>
      <c r="O37" s="61">
        <v>0</v>
      </c>
      <c r="P37" s="61">
        <v>0</v>
      </c>
      <c r="Q37" s="61">
        <v>0</v>
      </c>
      <c r="R37" s="62">
        <f>R9+R17+R29+R36</f>
        <v>2394.25</v>
      </c>
      <c r="S37" s="62">
        <f>S9+S17+S29+S36</f>
        <v>301.7</v>
      </c>
      <c r="U37" s="59"/>
      <c r="V37" s="59"/>
      <c r="W37" s="119">
        <f t="shared" si="0"/>
        <v>0</v>
      </c>
      <c r="X37" s="58">
        <f t="shared" si="1"/>
        <v>0</v>
      </c>
    </row>
    <row r="38" spans="2:24" x14ac:dyDescent="0.25">
      <c r="B38" s="59">
        <v>8</v>
      </c>
      <c r="C38" s="59" t="s">
        <v>408</v>
      </c>
      <c r="D38" s="60">
        <v>380</v>
      </c>
      <c r="E38" s="60">
        <v>20</v>
      </c>
      <c r="F38" s="60"/>
      <c r="G38" s="60"/>
      <c r="H38" s="60"/>
      <c r="I38" s="60"/>
      <c r="J38" s="61">
        <v>0</v>
      </c>
      <c r="K38" s="61"/>
      <c r="L38" s="61"/>
      <c r="M38" s="61"/>
      <c r="N38" s="61"/>
      <c r="O38" s="61"/>
      <c r="P38" s="61">
        <v>0</v>
      </c>
      <c r="Q38" s="61">
        <v>0</v>
      </c>
      <c r="R38" s="60">
        <f>R37*0.05</f>
        <v>119.71250000000001</v>
      </c>
      <c r="S38" s="60">
        <f>S37*0.05</f>
        <v>15.085000000000001</v>
      </c>
      <c r="U38" s="59"/>
      <c r="V38" s="59"/>
      <c r="W38" s="119">
        <f t="shared" si="0"/>
        <v>0</v>
      </c>
      <c r="X38" s="58">
        <f t="shared" si="1"/>
        <v>0</v>
      </c>
    </row>
    <row r="39" spans="2:24" x14ac:dyDescent="0.25">
      <c r="B39" s="59">
        <v>9</v>
      </c>
      <c r="C39" s="59" t="s">
        <v>78</v>
      </c>
      <c r="D39" s="60">
        <v>1375</v>
      </c>
      <c r="E39" s="60">
        <v>75</v>
      </c>
      <c r="F39" s="60"/>
      <c r="G39" s="60"/>
      <c r="H39" s="60"/>
      <c r="I39" s="60"/>
      <c r="J39" s="61">
        <v>0</v>
      </c>
      <c r="K39" s="61"/>
      <c r="L39" s="61"/>
      <c r="M39" s="61"/>
      <c r="N39" s="61"/>
      <c r="O39" s="61"/>
      <c r="P39" s="61">
        <v>0</v>
      </c>
      <c r="Q39" s="61">
        <v>0</v>
      </c>
      <c r="R39" s="60">
        <f>R37*0.18</f>
        <v>430.96499999999997</v>
      </c>
      <c r="S39" s="60">
        <f>S37*0.18</f>
        <v>54.305999999999997</v>
      </c>
      <c r="U39" s="59"/>
      <c r="V39" s="59"/>
      <c r="W39" s="119">
        <f t="shared" si="0"/>
        <v>0</v>
      </c>
      <c r="X39" s="58">
        <f t="shared" si="1"/>
        <v>0</v>
      </c>
    </row>
    <row r="40" spans="2:24" x14ac:dyDescent="0.25">
      <c r="B40" s="59">
        <v>10</v>
      </c>
      <c r="C40" s="57" t="s">
        <v>79</v>
      </c>
      <c r="D40" s="62">
        <f>D37+D38+D39</f>
        <v>8110</v>
      </c>
      <c r="E40" s="62">
        <f>E37+E38+E39</f>
        <v>518</v>
      </c>
      <c r="F40" s="62"/>
      <c r="G40" s="62"/>
      <c r="H40" s="62"/>
      <c r="I40" s="62"/>
      <c r="J40" s="61">
        <v>0</v>
      </c>
      <c r="K40" s="61"/>
      <c r="L40" s="61"/>
      <c r="M40" s="61"/>
      <c r="N40" s="61"/>
      <c r="O40" s="61"/>
      <c r="P40" s="61">
        <v>0</v>
      </c>
      <c r="Q40" s="61">
        <v>0</v>
      </c>
      <c r="R40" s="62">
        <f>R37+R38+R39</f>
        <v>2944.9275000000002</v>
      </c>
      <c r="S40" s="62">
        <f>S37+S38+S39</f>
        <v>371.09099999999995</v>
      </c>
      <c r="U40" s="59"/>
      <c r="V40" s="59"/>
      <c r="W40" s="119">
        <f t="shared" si="0"/>
        <v>0</v>
      </c>
      <c r="X40" s="58">
        <f t="shared" si="1"/>
        <v>0</v>
      </c>
    </row>
    <row r="41" spans="2:24" s="55" customFormat="1" x14ac:dyDescent="0.25">
      <c r="B41" s="57"/>
      <c r="C41" s="57"/>
      <c r="D41" s="62">
        <f>D40+E38+E39</f>
        <v>8205</v>
      </c>
      <c r="E41" s="62"/>
      <c r="F41" s="62"/>
      <c r="G41" s="62"/>
      <c r="H41" s="62"/>
      <c r="I41" s="62"/>
      <c r="J41" s="63"/>
      <c r="K41" s="63"/>
      <c r="L41" s="63"/>
      <c r="M41" s="63"/>
      <c r="N41" s="63"/>
      <c r="O41" s="63"/>
      <c r="P41" s="63"/>
      <c r="Q41" s="71"/>
      <c r="R41" s="288">
        <f>R40+S40</f>
        <v>3316.0185000000001</v>
      </c>
      <c r="S41" s="289"/>
      <c r="U41" s="57"/>
      <c r="V41" s="57"/>
      <c r="W41" s="119">
        <f t="shared" si="0"/>
        <v>0</v>
      </c>
      <c r="X41" s="58">
        <f t="shared" si="1"/>
        <v>0</v>
      </c>
    </row>
    <row r="42" spans="2:24" x14ac:dyDescent="0.25">
      <c r="D42" s="64"/>
      <c r="R42" s="66">
        <f>R41/D41</f>
        <v>0.4041460694698355</v>
      </c>
      <c r="U42" s="54">
        <f>SUM(U6:U41)</f>
        <v>6355</v>
      </c>
      <c r="V42" s="54">
        <f>SUM(V6:V41)</f>
        <v>423</v>
      </c>
      <c r="W42" s="54">
        <f t="shared" ref="W42:X42" si="6">SUM(W6:W41)</f>
        <v>5408</v>
      </c>
      <c r="X42" s="54">
        <f t="shared" si="6"/>
        <v>379.95</v>
      </c>
    </row>
    <row r="43" spans="2:24" x14ac:dyDescent="0.25">
      <c r="U43" s="54">
        <f>U42+V42</f>
        <v>6778</v>
      </c>
      <c r="W43" s="54">
        <f>W42+X42</f>
        <v>5787.95</v>
      </c>
      <c r="X43" s="54">
        <f>W43/100</f>
        <v>57.8795</v>
      </c>
    </row>
    <row r="44" spans="2:24" x14ac:dyDescent="0.25">
      <c r="X44" s="54">
        <f>W43/U43</f>
        <v>0.85393183830038355</v>
      </c>
    </row>
    <row r="45" spans="2:24" x14ac:dyDescent="0.25">
      <c r="X45" s="258">
        <f>X44</f>
        <v>0.85393183830038355</v>
      </c>
    </row>
  </sheetData>
  <mergeCells count="1">
    <mergeCell ref="R41:S41"/>
  </mergeCells>
  <conditionalFormatting sqref="F8:Q8 F6:Q6 F11:Q11 F13:Q13 F15:Q15 F21:Q21 F23:Q23 F25:Q25 F19:P19 F27:Q27">
    <cfRule type="dataBar" priority="15">
      <dataBar>
        <cfvo type="min"/>
        <cfvo type="max"/>
        <color rgb="FF63C384"/>
      </dataBar>
      <extLst>
        <ext xmlns:x14="http://schemas.microsoft.com/office/spreadsheetml/2009/9/main" uri="{B025F937-C7B1-47D3-B67F-A62EFF666E3E}">
          <x14:id>{8A8781EB-DDEC-477B-A7A4-1F5065CB2ED7}</x14:id>
        </ext>
      </extLst>
    </cfRule>
  </conditionalFormatting>
  <conditionalFormatting sqref="J29:P29 P36 J17:P17 J9:Q9">
    <cfRule type="dataBar" priority="13">
      <dataBar>
        <cfvo type="min"/>
        <cfvo type="max"/>
        <color rgb="FFD6007B"/>
      </dataBar>
      <extLst>
        <ext xmlns:x14="http://schemas.microsoft.com/office/spreadsheetml/2009/9/main" uri="{B025F937-C7B1-47D3-B67F-A62EFF666E3E}">
          <x14:id>{1D4E5113-AB2D-47F1-8EB1-96CEB4E4A944}</x14:id>
        </ext>
      </extLst>
    </cfRule>
  </conditionalFormatting>
  <conditionalFormatting sqref="Z6">
    <cfRule type="dataBar" priority="12">
      <dataBar>
        <cfvo type="min"/>
        <cfvo type="max"/>
        <color rgb="FF008AEF"/>
      </dataBar>
      <extLst>
        <ext xmlns:x14="http://schemas.microsoft.com/office/spreadsheetml/2009/9/main" uri="{B025F937-C7B1-47D3-B67F-A62EFF666E3E}">
          <x14:id>{7403CB19-2DA7-4A61-A950-F157240A0C7C}</x14:id>
        </ext>
      </extLst>
    </cfRule>
  </conditionalFormatting>
  <conditionalFormatting sqref="Q16">
    <cfRule type="dataBar" priority="10">
      <dataBar>
        <cfvo type="min"/>
        <cfvo type="max"/>
        <color rgb="FF008AEF"/>
      </dataBar>
      <extLst>
        <ext xmlns:x14="http://schemas.microsoft.com/office/spreadsheetml/2009/9/main" uri="{B025F937-C7B1-47D3-B67F-A62EFF666E3E}">
          <x14:id>{F6A750CA-9AA3-459A-B487-04E7691346E9}</x14:id>
        </ext>
      </extLst>
    </cfRule>
  </conditionalFormatting>
  <conditionalFormatting sqref="Q36">
    <cfRule type="dataBar" priority="9">
      <dataBar>
        <cfvo type="min"/>
        <cfvo type="max"/>
        <color rgb="FFD6007B"/>
      </dataBar>
      <extLst>
        <ext xmlns:x14="http://schemas.microsoft.com/office/spreadsheetml/2009/9/main" uri="{B025F937-C7B1-47D3-B67F-A62EFF666E3E}">
          <x14:id>{6520E3DD-0B24-473E-A0A8-13E7864C0F28}</x14:id>
        </ext>
      </extLst>
    </cfRule>
  </conditionalFormatting>
  <conditionalFormatting sqref="I17">
    <cfRule type="dataBar" priority="8">
      <dataBar>
        <cfvo type="min"/>
        <cfvo type="max"/>
        <color rgb="FF63C384"/>
      </dataBar>
      <extLst>
        <ext xmlns:x14="http://schemas.microsoft.com/office/spreadsheetml/2009/9/main" uri="{B025F937-C7B1-47D3-B67F-A62EFF666E3E}">
          <x14:id>{3AB0EE2C-6969-4F49-B4BA-F1E20FA646CB}</x14:id>
        </ext>
      </extLst>
    </cfRule>
  </conditionalFormatting>
  <conditionalFormatting sqref="F19:O19">
    <cfRule type="dataBar" priority="4">
      <dataBar>
        <cfvo type="min"/>
        <cfvo type="max"/>
        <color rgb="FF63C384"/>
      </dataBar>
      <extLst>
        <ext xmlns:x14="http://schemas.microsoft.com/office/spreadsheetml/2009/9/main" uri="{B025F937-C7B1-47D3-B67F-A62EFF666E3E}">
          <x14:id>{D5118F1C-FBB1-4033-8054-83E65A2A0363}</x14:id>
        </ext>
      </extLst>
    </cfRule>
  </conditionalFormatting>
  <conditionalFormatting sqref="H31:H37">
    <cfRule type="dataBar" priority="2">
      <dataBar>
        <cfvo type="min"/>
        <cfvo type="max"/>
        <color rgb="FF008AEF"/>
      </dataBar>
      <extLst>
        <ext xmlns:x14="http://schemas.microsoft.com/office/spreadsheetml/2009/9/main" uri="{B025F937-C7B1-47D3-B67F-A62EFF666E3E}">
          <x14:id>{FA8A9A96-FA84-4FFC-97FD-E20A34501E5F}</x14:id>
        </ext>
      </extLst>
    </cfRule>
  </conditionalFormatting>
  <conditionalFormatting sqref="I31:O37 G31:G37">
    <cfRule type="dataBar" priority="1127">
      <dataBar>
        <cfvo type="min"/>
        <cfvo type="max"/>
        <color rgb="FF008AEF"/>
      </dataBar>
      <extLst>
        <ext xmlns:x14="http://schemas.microsoft.com/office/spreadsheetml/2009/9/main" uri="{B025F937-C7B1-47D3-B67F-A62EFF666E3E}">
          <x14:id>{4A5E5F46-1636-47FC-BDD5-4EEF807DC754}</x14:id>
        </ext>
      </extLst>
    </cfRule>
  </conditionalFormatting>
  <conditionalFormatting sqref="O19:P19 O20:Q20 F19:N20 I16:P16 F7:Q7 F12:Q12 F14:Q14 F22:Q22 F24:Q24 F26:Q26 F28:Q28">
    <cfRule type="dataBar" priority="1148">
      <dataBar>
        <cfvo type="min"/>
        <cfvo type="max"/>
        <color rgb="FF008AEF"/>
      </dataBar>
      <extLst>
        <ext xmlns:x14="http://schemas.microsoft.com/office/spreadsheetml/2009/9/main" uri="{B025F937-C7B1-47D3-B67F-A62EFF666E3E}">
          <x14:id>{98420488-B448-4530-9FFD-0F2DF03D006A}</x14:id>
        </ext>
      </extLst>
    </cfRule>
  </conditionalFormatting>
  <conditionalFormatting sqref="G32:T32">
    <cfRule type="dataBar" priority="1">
      <dataBar>
        <cfvo type="min"/>
        <cfvo type="max"/>
        <color rgb="FF008AEF"/>
      </dataBar>
      <extLst>
        <ext xmlns:x14="http://schemas.microsoft.com/office/spreadsheetml/2009/9/main" uri="{B025F937-C7B1-47D3-B67F-A62EFF666E3E}">
          <x14:id>{F7DFBB11-8330-475C-B082-B6217FD9A918}</x14:id>
        </ext>
      </extLst>
    </cfRule>
  </conditionalFormatting>
  <pageMargins left="0.7" right="0.7" top="0.75" bottom="0.75" header="0.3" footer="0.3"/>
  <pageSetup paperSize="9" fitToHeight="0" orientation="landscape" r:id="rId1"/>
  <rowBreaks count="1" manualBreakCount="1">
    <brk id="29" min="1" max="9" man="1"/>
  </rowBreaks>
  <extLst>
    <ext xmlns:x14="http://schemas.microsoft.com/office/spreadsheetml/2009/9/main" uri="{78C0D931-6437-407d-A8EE-F0AAD7539E65}">
      <x14:conditionalFormattings>
        <x14:conditionalFormatting xmlns:xm="http://schemas.microsoft.com/office/excel/2006/main">
          <x14:cfRule type="dataBar" id="{8A8781EB-DDEC-477B-A7A4-1F5065CB2ED7}">
            <x14:dataBar minLength="0" maxLength="100" border="1" negativeBarBorderColorSameAsPositive="0">
              <x14:cfvo type="autoMin"/>
              <x14:cfvo type="autoMax"/>
              <x14:borderColor rgb="FF63C384"/>
              <x14:negativeFillColor rgb="FFFF0000"/>
              <x14:negativeBorderColor rgb="FFFF0000"/>
              <x14:axisColor rgb="FF000000"/>
            </x14:dataBar>
          </x14:cfRule>
          <xm:sqref>F8:Q8 F6:Q6 F11:Q11 F13:Q13 F15:Q15 F21:Q21 F23:Q23 F25:Q25 F19:P19 F27:Q27</xm:sqref>
        </x14:conditionalFormatting>
        <x14:conditionalFormatting xmlns:xm="http://schemas.microsoft.com/office/excel/2006/main">
          <x14:cfRule type="dataBar" id="{1D4E5113-AB2D-47F1-8EB1-96CEB4E4A944}">
            <x14:dataBar minLength="0" maxLength="100" border="1" negativeBarBorderColorSameAsPositive="0">
              <x14:cfvo type="autoMin"/>
              <x14:cfvo type="autoMax"/>
              <x14:borderColor rgb="FFD6007B"/>
              <x14:negativeFillColor rgb="FFFF0000"/>
              <x14:negativeBorderColor rgb="FFFF0000"/>
              <x14:axisColor rgb="FF000000"/>
            </x14:dataBar>
          </x14:cfRule>
          <xm:sqref>J29:P29 P36 J17:P17 J9:Q9</xm:sqref>
        </x14:conditionalFormatting>
        <x14:conditionalFormatting xmlns:xm="http://schemas.microsoft.com/office/excel/2006/main">
          <x14:cfRule type="dataBar" id="{7403CB19-2DA7-4A61-A950-F157240A0C7C}">
            <x14:dataBar minLength="0" maxLength="100" border="1" negativeBarBorderColorSameAsPositive="0">
              <x14:cfvo type="autoMin"/>
              <x14:cfvo type="autoMax"/>
              <x14:borderColor rgb="FF008AEF"/>
              <x14:negativeFillColor rgb="FFFF0000"/>
              <x14:negativeBorderColor rgb="FFFF0000"/>
              <x14:axisColor rgb="FF000000"/>
            </x14:dataBar>
          </x14:cfRule>
          <xm:sqref>Z6</xm:sqref>
        </x14:conditionalFormatting>
        <x14:conditionalFormatting xmlns:xm="http://schemas.microsoft.com/office/excel/2006/main">
          <x14:cfRule type="dataBar" id="{F6A750CA-9AA3-459A-B487-04E7691346E9}">
            <x14:dataBar minLength="0" maxLength="100" border="1" negativeBarBorderColorSameAsPositive="0">
              <x14:cfvo type="autoMin"/>
              <x14:cfvo type="autoMax"/>
              <x14:borderColor rgb="FF008AEF"/>
              <x14:negativeFillColor rgb="FFFF0000"/>
              <x14:negativeBorderColor rgb="FFFF0000"/>
              <x14:axisColor rgb="FF000000"/>
            </x14:dataBar>
          </x14:cfRule>
          <xm:sqref>Q16</xm:sqref>
        </x14:conditionalFormatting>
        <x14:conditionalFormatting xmlns:xm="http://schemas.microsoft.com/office/excel/2006/main">
          <x14:cfRule type="dataBar" id="{6520E3DD-0B24-473E-A0A8-13E7864C0F28}">
            <x14:dataBar minLength="0" maxLength="100" border="1" negativeBarBorderColorSameAsPositive="0">
              <x14:cfvo type="autoMin"/>
              <x14:cfvo type="autoMax"/>
              <x14:borderColor rgb="FFD6007B"/>
              <x14:negativeFillColor rgb="FFFF0000"/>
              <x14:negativeBorderColor rgb="FFFF0000"/>
              <x14:axisColor rgb="FF000000"/>
            </x14:dataBar>
          </x14:cfRule>
          <xm:sqref>Q36</xm:sqref>
        </x14:conditionalFormatting>
        <x14:conditionalFormatting xmlns:xm="http://schemas.microsoft.com/office/excel/2006/main">
          <x14:cfRule type="dataBar" id="{3AB0EE2C-6969-4F49-B4BA-F1E20FA646CB}">
            <x14:dataBar minLength="0" maxLength="100" border="1" negativeBarBorderColorSameAsPositive="0">
              <x14:cfvo type="autoMin"/>
              <x14:cfvo type="autoMax"/>
              <x14:borderColor rgb="FF63C384"/>
              <x14:negativeFillColor rgb="FFFF0000"/>
              <x14:negativeBorderColor rgb="FFFF0000"/>
              <x14:axisColor rgb="FF000000"/>
            </x14:dataBar>
          </x14:cfRule>
          <xm:sqref>I17</xm:sqref>
        </x14:conditionalFormatting>
        <x14:conditionalFormatting xmlns:xm="http://schemas.microsoft.com/office/excel/2006/main">
          <x14:cfRule type="dataBar" id="{D5118F1C-FBB1-4033-8054-83E65A2A0363}">
            <x14:dataBar minLength="0" maxLength="100" border="1" negativeBarBorderColorSameAsPositive="0">
              <x14:cfvo type="autoMin"/>
              <x14:cfvo type="autoMax"/>
              <x14:borderColor rgb="FF63C384"/>
              <x14:negativeFillColor rgb="FFFF0000"/>
              <x14:negativeBorderColor rgb="FFFF0000"/>
              <x14:axisColor rgb="FF000000"/>
            </x14:dataBar>
          </x14:cfRule>
          <xm:sqref>F19:O19</xm:sqref>
        </x14:conditionalFormatting>
        <x14:conditionalFormatting xmlns:xm="http://schemas.microsoft.com/office/excel/2006/main">
          <x14:cfRule type="dataBar" id="{FA8A9A96-FA84-4FFC-97FD-E20A34501E5F}">
            <x14:dataBar minLength="0" maxLength="100" border="1" negativeBarBorderColorSameAsPositive="0">
              <x14:cfvo type="autoMin"/>
              <x14:cfvo type="autoMax"/>
              <x14:borderColor rgb="FF008AEF"/>
              <x14:negativeFillColor rgb="FFFF0000"/>
              <x14:negativeBorderColor rgb="FFFF0000"/>
              <x14:axisColor rgb="FF000000"/>
            </x14:dataBar>
          </x14:cfRule>
          <xm:sqref>H31:H37</xm:sqref>
        </x14:conditionalFormatting>
        <x14:conditionalFormatting xmlns:xm="http://schemas.microsoft.com/office/excel/2006/main">
          <x14:cfRule type="dataBar" id="{4A5E5F46-1636-47FC-BDD5-4EEF807DC754}">
            <x14:dataBar minLength="0" maxLength="100" border="1" negativeBarBorderColorSameAsPositive="0">
              <x14:cfvo type="autoMin"/>
              <x14:cfvo type="autoMax"/>
              <x14:borderColor rgb="FF008AEF"/>
              <x14:negativeFillColor rgb="FFFF0000"/>
              <x14:negativeBorderColor rgb="FFFF0000"/>
              <x14:axisColor rgb="FF000000"/>
            </x14:dataBar>
          </x14:cfRule>
          <xm:sqref>I31:O37 G31:G37</xm:sqref>
        </x14:conditionalFormatting>
        <x14:conditionalFormatting xmlns:xm="http://schemas.microsoft.com/office/excel/2006/main">
          <x14:cfRule type="dataBar" id="{98420488-B448-4530-9FFD-0F2DF03D006A}">
            <x14:dataBar minLength="0" maxLength="100" border="1" negativeBarBorderColorSameAsPositive="0">
              <x14:cfvo type="autoMin"/>
              <x14:cfvo type="autoMax"/>
              <x14:borderColor rgb="FF008AEF"/>
              <x14:negativeFillColor rgb="FFFF0000"/>
              <x14:negativeBorderColor rgb="FFFF0000"/>
              <x14:axisColor rgb="FF000000"/>
            </x14:dataBar>
          </x14:cfRule>
          <xm:sqref>O19:P19 O20:Q20 F19:N20 I16:P16 F7:Q7 F12:Q12 F14:Q14 F22:Q22 F24:Q24 F26:Q26 F28:Q28</xm:sqref>
        </x14:conditionalFormatting>
        <x14:conditionalFormatting xmlns:xm="http://schemas.microsoft.com/office/excel/2006/main">
          <x14:cfRule type="dataBar" id="{F7DFBB11-8330-475C-B082-B6217FD9A918}">
            <x14:dataBar minLength="0" maxLength="100" border="1" negativeBarBorderColorSameAsPositive="0">
              <x14:cfvo type="autoMin"/>
              <x14:cfvo type="autoMax"/>
              <x14:borderColor rgb="FF008AEF"/>
              <x14:negativeFillColor rgb="FFFF0000"/>
              <x14:negativeBorderColor rgb="FFFF0000"/>
              <x14:axisColor rgb="FF000000"/>
            </x14:dataBar>
          </x14:cfRule>
          <xm:sqref>G32:T32</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N18"/>
  <sheetViews>
    <sheetView topLeftCell="E1" workbookViewId="0">
      <selection activeCell="K22" sqref="K22"/>
    </sheetView>
  </sheetViews>
  <sheetFormatPr defaultRowHeight="15" x14ac:dyDescent="0.25"/>
  <cols>
    <col min="2" max="2" width="10.7109375" customWidth="1"/>
    <col min="3" max="3" width="18.5703125" bestFit="1" customWidth="1"/>
    <col min="4" max="4" width="8" customWidth="1"/>
    <col min="8" max="8" width="28" bestFit="1" customWidth="1"/>
    <col min="9" max="9" width="24.85546875" bestFit="1" customWidth="1"/>
    <col min="10" max="10" width="20.7109375" bestFit="1" customWidth="1"/>
    <col min="11" max="11" width="40.42578125" customWidth="1"/>
    <col min="12" max="12" width="20.7109375" customWidth="1"/>
    <col min="13" max="13" width="18" customWidth="1"/>
  </cols>
  <sheetData>
    <row r="2" spans="2:14" x14ac:dyDescent="0.25">
      <c r="I2" s="155" t="s">
        <v>761</v>
      </c>
      <c r="J2" s="194" t="s">
        <v>762</v>
      </c>
    </row>
    <row r="3" spans="2:14" x14ac:dyDescent="0.25">
      <c r="I3" s="1" t="s">
        <v>735</v>
      </c>
      <c r="J3" s="191">
        <v>44742</v>
      </c>
    </row>
    <row r="4" spans="2:14" x14ac:dyDescent="0.25">
      <c r="I4" s="1" t="s">
        <v>723</v>
      </c>
      <c r="J4" s="191">
        <v>44518</v>
      </c>
    </row>
    <row r="5" spans="2:14" x14ac:dyDescent="0.25">
      <c r="I5" s="1" t="s">
        <v>757</v>
      </c>
      <c r="J5" s="1" t="s">
        <v>758</v>
      </c>
    </row>
    <row r="6" spans="2:14" x14ac:dyDescent="0.25">
      <c r="I6" s="1" t="s">
        <v>759</v>
      </c>
      <c r="J6" s="191">
        <v>44782</v>
      </c>
    </row>
    <row r="7" spans="2:14" x14ac:dyDescent="0.25">
      <c r="H7" t="s">
        <v>725</v>
      </c>
    </row>
    <row r="9" spans="2:14" ht="45" x14ac:dyDescent="0.25">
      <c r="G9" s="156" t="s">
        <v>724</v>
      </c>
      <c r="H9" s="156" t="s">
        <v>726</v>
      </c>
      <c r="I9" s="156" t="s">
        <v>727</v>
      </c>
      <c r="K9" s="156" t="s">
        <v>736</v>
      </c>
      <c r="L9" s="189" t="s">
        <v>752</v>
      </c>
      <c r="M9" s="189" t="s">
        <v>753</v>
      </c>
      <c r="N9" s="189" t="s">
        <v>760</v>
      </c>
    </row>
    <row r="10" spans="2:14" x14ac:dyDescent="0.25">
      <c r="G10" s="5">
        <v>1</v>
      </c>
      <c r="H10" s="155" t="s">
        <v>728</v>
      </c>
      <c r="I10" s="7">
        <v>1167.0899999999999</v>
      </c>
      <c r="K10" s="187" t="s">
        <v>743</v>
      </c>
      <c r="L10" s="1">
        <v>316.26</v>
      </c>
      <c r="M10" s="186">
        <v>497.65</v>
      </c>
      <c r="N10" s="192">
        <f>L10/M10</f>
        <v>0.63550688234703101</v>
      </c>
    </row>
    <row r="11" spans="2:14" ht="28.5" x14ac:dyDescent="0.25">
      <c r="B11" s="5">
        <v>1</v>
      </c>
      <c r="C11" s="155" t="s">
        <v>755</v>
      </c>
      <c r="D11" s="1">
        <v>840.5</v>
      </c>
      <c r="G11" s="5">
        <v>2</v>
      </c>
      <c r="H11" s="155" t="s">
        <v>729</v>
      </c>
      <c r="I11" s="7">
        <v>840.5</v>
      </c>
      <c r="K11" s="188" t="s">
        <v>744</v>
      </c>
      <c r="L11" s="1">
        <v>1663.14</v>
      </c>
      <c r="M11" s="165">
        <v>1989.93</v>
      </c>
      <c r="N11" s="192">
        <f t="shared" ref="N11:N13" si="0">L11/M11</f>
        <v>0.83577814294975206</v>
      </c>
    </row>
    <row r="12" spans="2:14" ht="42.75" x14ac:dyDescent="0.25">
      <c r="B12" s="5">
        <v>2</v>
      </c>
      <c r="C12" s="155" t="s">
        <v>756</v>
      </c>
      <c r="D12" s="1">
        <v>1167.0899999999999</v>
      </c>
      <c r="G12" s="5">
        <v>3</v>
      </c>
      <c r="H12" s="155" t="s">
        <v>730</v>
      </c>
      <c r="I12" s="7">
        <f>SUM(I10:I11)</f>
        <v>2007.59</v>
      </c>
      <c r="K12" s="187" t="s">
        <v>745</v>
      </c>
      <c r="L12" s="1">
        <v>74.95</v>
      </c>
      <c r="M12" s="186">
        <v>140.46</v>
      </c>
      <c r="N12" s="192">
        <f t="shared" si="0"/>
        <v>0.53360387298875123</v>
      </c>
    </row>
    <row r="13" spans="2:14" x14ac:dyDescent="0.25">
      <c r="B13" s="1"/>
      <c r="C13" s="1"/>
      <c r="D13" s="7">
        <f>D11/D12</f>
        <v>0.7201672535965522</v>
      </c>
      <c r="G13" s="5">
        <v>4</v>
      </c>
      <c r="H13" s="155" t="s">
        <v>731</v>
      </c>
      <c r="I13" s="7">
        <v>24.36</v>
      </c>
      <c r="K13" s="188" t="s">
        <v>746</v>
      </c>
      <c r="L13" s="1">
        <v>18.05</v>
      </c>
      <c r="M13" s="165">
        <v>130.31</v>
      </c>
      <c r="N13" s="192">
        <f t="shared" si="0"/>
        <v>0.13851584682679763</v>
      </c>
    </row>
    <row r="14" spans="2:14" x14ac:dyDescent="0.25">
      <c r="G14" s="5">
        <v>5</v>
      </c>
      <c r="H14" s="155" t="s">
        <v>732</v>
      </c>
      <c r="I14" s="7">
        <f>I12-I13</f>
        <v>1983.23</v>
      </c>
      <c r="K14" s="187" t="s">
        <v>747</v>
      </c>
      <c r="L14" s="5" t="s">
        <v>47</v>
      </c>
      <c r="M14" s="186">
        <v>197.1</v>
      </c>
      <c r="N14" s="192">
        <v>0</v>
      </c>
    </row>
    <row r="15" spans="2:14" x14ac:dyDescent="0.25">
      <c r="G15" s="5">
        <v>6</v>
      </c>
      <c r="H15" s="155" t="s">
        <v>733</v>
      </c>
      <c r="I15" s="7">
        <v>89.17</v>
      </c>
      <c r="K15" s="188" t="s">
        <v>748</v>
      </c>
      <c r="L15" s="5" t="s">
        <v>47</v>
      </c>
      <c r="M15" s="165">
        <v>14.94</v>
      </c>
      <c r="N15" s="192">
        <v>0</v>
      </c>
    </row>
    <row r="16" spans="2:14" x14ac:dyDescent="0.25">
      <c r="G16" s="5"/>
      <c r="H16" s="155" t="s">
        <v>734</v>
      </c>
      <c r="I16" s="7">
        <f>SUM(I14:I15)</f>
        <v>2072.4</v>
      </c>
      <c r="K16" s="190" t="s">
        <v>754</v>
      </c>
      <c r="L16" s="190">
        <f>SUM(L10:L15)</f>
        <v>2072.4</v>
      </c>
      <c r="M16" s="190">
        <f>SUM(M10:M15)</f>
        <v>2970.39</v>
      </c>
      <c r="N16" s="193">
        <f>L16/M16</f>
        <v>0.69768616242311621</v>
      </c>
    </row>
    <row r="18" spans="8:8" x14ac:dyDescent="0.25">
      <c r="H18" s="157"/>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K15"/>
  <sheetViews>
    <sheetView workbookViewId="0">
      <selection activeCell="G6" sqref="G6"/>
    </sheetView>
  </sheetViews>
  <sheetFormatPr defaultRowHeight="15" x14ac:dyDescent="0.25"/>
  <cols>
    <col min="5" max="5" width="23.140625" customWidth="1"/>
    <col min="6" max="6" width="20.5703125" customWidth="1"/>
    <col min="7" max="7" width="18" customWidth="1"/>
    <col min="8" max="8" width="26" customWidth="1"/>
    <col min="9" max="9" width="13.140625" bestFit="1" customWidth="1"/>
    <col min="10" max="10" width="8.7109375" customWidth="1"/>
    <col min="11" max="11" width="10" bestFit="1" customWidth="1"/>
  </cols>
  <sheetData>
    <row r="2" spans="2:11" ht="30" x14ac:dyDescent="0.25">
      <c r="E2" s="159" t="s">
        <v>736</v>
      </c>
      <c r="F2" s="160" t="s">
        <v>737</v>
      </c>
      <c r="G2" s="160" t="s">
        <v>738</v>
      </c>
      <c r="H2" s="161" t="s">
        <v>739</v>
      </c>
      <c r="I2" s="162" t="s">
        <v>740</v>
      </c>
      <c r="J2" s="162" t="s">
        <v>741</v>
      </c>
      <c r="K2" s="162" t="s">
        <v>742</v>
      </c>
    </row>
    <row r="3" spans="2:11" ht="28.5" x14ac:dyDescent="0.25">
      <c r="E3" s="163" t="s">
        <v>743</v>
      </c>
      <c r="F3" s="164">
        <v>208.49</v>
      </c>
      <c r="G3" s="165">
        <v>259.13</v>
      </c>
      <c r="H3" s="166">
        <v>497.65</v>
      </c>
      <c r="I3" s="167">
        <f>Table1[[#This Row],[Expense Incured in September (in crores)]]/Table1[[#This Row],[Estimated Project Cost as per the Holtec Report]]</f>
        <v>0.41894906058474835</v>
      </c>
      <c r="J3" s="167">
        <f>Table1[[#This Row],[Expense incured in crore (Dec.)]]/Table1[[#This Row],[Estimated Project Cost as per the Holtec Report]]</f>
        <v>0.52070732442479661</v>
      </c>
      <c r="K3" s="158">
        <f>(Table1[[#This Row],[December]]-Table1[[#This Row],[September]])/Table1[[#This Row],[September]]</f>
        <v>0.2428893472108975</v>
      </c>
    </row>
    <row r="4" spans="2:11" ht="71.25" x14ac:dyDescent="0.25">
      <c r="E4" s="163" t="s">
        <v>744</v>
      </c>
      <c r="F4" s="164">
        <v>432.34</v>
      </c>
      <c r="G4" s="165">
        <v>664.63</v>
      </c>
      <c r="H4" s="166">
        <v>1989.93</v>
      </c>
      <c r="I4" s="167">
        <f>Table1[[#This Row],[Expense Incured in September (in crores)]]/Table1[[#This Row],[Estimated Project Cost as per the Holtec Report]]</f>
        <v>0.21726392385661805</v>
      </c>
      <c r="J4" s="167">
        <f>Table1[[#This Row],[Expense incured in crore (Dec.)]]/Table1[[#This Row],[Estimated Project Cost as per the Holtec Report]]</f>
        <v>0.3339966732498128</v>
      </c>
      <c r="K4" s="158">
        <f>(Table1[[#This Row],[December]]-Table1[[#This Row],[September]])/Table1[[#This Row],[September]]</f>
        <v>0.53728546976916325</v>
      </c>
    </row>
    <row r="5" spans="2:11" ht="71.25" x14ac:dyDescent="0.25">
      <c r="E5" s="163" t="s">
        <v>745</v>
      </c>
      <c r="F5" s="164">
        <v>27.1</v>
      </c>
      <c r="G5" s="165">
        <v>36.17</v>
      </c>
      <c r="H5" s="166">
        <v>140.46</v>
      </c>
      <c r="I5" s="167">
        <f>Table1[[#This Row],[Expense Incured in September (in crores)]]/Table1[[#This Row],[Estimated Project Cost as per the Holtec Report]]</f>
        <v>0.19293749110066924</v>
      </c>
      <c r="J5" s="167">
        <f>Table1[[#This Row],[Expense incured in crore (Dec.)]]/Table1[[#This Row],[Estimated Project Cost as per the Holtec Report]]</f>
        <v>0.25751103517015522</v>
      </c>
      <c r="K5" s="158">
        <f>(Table1[[#This Row],[December]]-Table1[[#This Row],[September]])/Table1[[#This Row],[September]]</f>
        <v>0.33468634686346865</v>
      </c>
    </row>
    <row r="6" spans="2:11" ht="28.5" x14ac:dyDescent="0.25">
      <c r="B6" s="168"/>
      <c r="E6" s="163" t="s">
        <v>746</v>
      </c>
      <c r="F6" s="164">
        <v>0</v>
      </c>
      <c r="G6" s="165">
        <v>1.06</v>
      </c>
      <c r="H6" s="166">
        <v>130.31</v>
      </c>
      <c r="I6" s="167">
        <f>Table1[[#This Row],[Expense Incured in September (in crores)]]/Table1[[#This Row],[Estimated Project Cost as per the Holtec Report]]</f>
        <v>0</v>
      </c>
      <c r="J6" s="167">
        <f>Table1[[#This Row],[Expense incured in crore (Dec.)]]/Table1[[#This Row],[Estimated Project Cost as per the Holtec Report]]</f>
        <v>8.1344486225155398E-3</v>
      </c>
      <c r="K6" s="158" t="e">
        <f>(Table1[[#This Row],[December]]-Table1[[#This Row],[September]])/Table1[[#This Row],[September]]</f>
        <v>#DIV/0!</v>
      </c>
    </row>
    <row r="7" spans="2:11" x14ac:dyDescent="0.25">
      <c r="E7" s="163" t="s">
        <v>747</v>
      </c>
      <c r="F7" s="164">
        <v>0</v>
      </c>
      <c r="G7" s="165">
        <v>0</v>
      </c>
      <c r="H7" s="166">
        <v>197.1</v>
      </c>
      <c r="I7" s="167">
        <f>Table1[[#This Row],[Expense Incured in September (in crores)]]/Table1[[#This Row],[Estimated Project Cost as per the Holtec Report]]</f>
        <v>0</v>
      </c>
      <c r="J7" s="167">
        <f>Table1[[#This Row],[Expense incured in crore (Dec.)]]/Table1[[#This Row],[Estimated Project Cost as per the Holtec Report]]</f>
        <v>0</v>
      </c>
      <c r="K7" s="158" t="e">
        <f>(Table1[[#This Row],[December]]-Table1[[#This Row],[September]])/Table1[[#This Row],[September]]</f>
        <v>#DIV/0!</v>
      </c>
    </row>
    <row r="8" spans="2:11" ht="28.5" x14ac:dyDescent="0.25">
      <c r="E8" s="163" t="s">
        <v>748</v>
      </c>
      <c r="F8" s="164">
        <v>0</v>
      </c>
      <c r="G8" s="169">
        <v>0</v>
      </c>
      <c r="H8" s="166">
        <v>14.94</v>
      </c>
      <c r="I8" s="167">
        <f>Table1[[#This Row],[Expense Incured in September (in crores)]]/Table1[[#This Row],[Estimated Project Cost as per the Holtec Report]]</f>
        <v>0</v>
      </c>
      <c r="J8" s="167">
        <f>Table1[[#This Row],[Expense incured in crore (Dec.)]]/Table1[[#This Row],[Estimated Project Cost as per the Holtec Report]]</f>
        <v>0</v>
      </c>
      <c r="K8" s="158" t="e">
        <f>(Table1[[#This Row],[December]]-Table1[[#This Row],[September]])/Table1[[#This Row],[September]]</f>
        <v>#DIV/0!</v>
      </c>
    </row>
    <row r="9" spans="2:11" x14ac:dyDescent="0.25">
      <c r="E9" s="170" t="s">
        <v>318</v>
      </c>
      <c r="F9" s="171">
        <f>SUM(F3:F8)</f>
        <v>667.93</v>
      </c>
      <c r="G9" s="172">
        <f>SUM(G3:G8)</f>
        <v>960.9899999999999</v>
      </c>
      <c r="H9" s="173">
        <f>SUM(H3:H8)</f>
        <v>2970.39</v>
      </c>
      <c r="I9" s="167">
        <f>Table1[[#This Row],[Expense Incured in September (in crores)]]/Table1[[#This Row],[Estimated Project Cost as per the Holtec Report]]</f>
        <v>0.22486272846326577</v>
      </c>
      <c r="J9" s="167">
        <f>Table1[[#This Row],[Expense incured in crore (Dec.)]]/Table1[[#This Row],[Estimated Project Cost as per the Holtec Report]]</f>
        <v>0.32352317372466238</v>
      </c>
      <c r="K9" s="158">
        <f>(Table1[[#This Row],[December]]-Table1[[#This Row],[September]])/Table1[[#This Row],[September]]</f>
        <v>0.43875855254293095</v>
      </c>
    </row>
    <row r="11" spans="2:11" x14ac:dyDescent="0.25">
      <c r="E11" s="174" t="s">
        <v>669</v>
      </c>
      <c r="F11" s="175" t="s">
        <v>749</v>
      </c>
      <c r="G11" s="176" t="s">
        <v>750</v>
      </c>
    </row>
    <row r="12" spans="2:11" ht="30" x14ac:dyDescent="0.25">
      <c r="E12" s="177" t="s">
        <v>638</v>
      </c>
      <c r="F12" s="178">
        <v>658.21</v>
      </c>
      <c r="G12" s="179">
        <v>815.65</v>
      </c>
    </row>
    <row r="13" spans="2:11" x14ac:dyDescent="0.25">
      <c r="E13" s="180" t="s">
        <v>639</v>
      </c>
      <c r="F13" s="181">
        <v>0</v>
      </c>
      <c r="G13" s="179">
        <v>131.93</v>
      </c>
    </row>
    <row r="14" spans="2:11" x14ac:dyDescent="0.25">
      <c r="E14" s="182" t="s">
        <v>751</v>
      </c>
      <c r="F14" s="181">
        <v>9.7200000000000006</v>
      </c>
      <c r="G14" s="179">
        <v>13.41</v>
      </c>
    </row>
    <row r="15" spans="2:11" x14ac:dyDescent="0.25">
      <c r="E15" s="183" t="s">
        <v>318</v>
      </c>
      <c r="F15" s="184">
        <f>SUM(F12:F14)</f>
        <v>667.93000000000006</v>
      </c>
      <c r="G15" s="185">
        <f>SUM(G12:G14)</f>
        <v>960.9899999999999</v>
      </c>
    </row>
  </sheetData>
  <pageMargins left="0.7" right="0.7" top="0.75" bottom="0.75" header="0.3" footer="0.3"/>
  <pageSetup orientation="portrait" r:id="rId1"/>
  <drawing r:id="rId2"/>
  <tableParts count="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I65"/>
  <sheetViews>
    <sheetView view="pageBreakPreview" topLeftCell="B1" zoomScale="85" zoomScaleNormal="100" zoomScaleSheetLayoutView="85" workbookViewId="0">
      <pane ySplit="5" topLeftCell="A45" activePane="bottomLeft" state="frozen"/>
      <selection activeCell="C8" sqref="C8"/>
      <selection pane="bottomLeft" activeCell="E65" sqref="E65"/>
    </sheetView>
  </sheetViews>
  <sheetFormatPr defaultColWidth="8.85546875" defaultRowHeight="14.25" x14ac:dyDescent="0.2"/>
  <cols>
    <col min="1" max="2" width="8.85546875" style="22"/>
    <col min="3" max="3" width="88.140625" style="22" bestFit="1" customWidth="1"/>
    <col min="4" max="4" width="7.28515625" style="22" bestFit="1" customWidth="1"/>
    <col min="5" max="5" width="8.7109375" style="22" bestFit="1" customWidth="1"/>
    <col min="6" max="7" width="15.5703125" style="22" bestFit="1" customWidth="1"/>
    <col min="8" max="8" width="17.5703125" style="22" bestFit="1" customWidth="1"/>
    <col min="9" max="9" width="18.85546875" style="22" bestFit="1" customWidth="1"/>
    <col min="10" max="16384" width="8.85546875" style="22"/>
  </cols>
  <sheetData>
    <row r="2" spans="2:9" ht="23.25" x14ac:dyDescent="0.35">
      <c r="B2" s="67" t="s">
        <v>409</v>
      </c>
    </row>
    <row r="4" spans="2:9" ht="15" x14ac:dyDescent="0.25">
      <c r="B4" s="30" t="s">
        <v>381</v>
      </c>
    </row>
    <row r="5" spans="2:9" ht="15" x14ac:dyDescent="0.25">
      <c r="B5" s="68" t="s">
        <v>670</v>
      </c>
      <c r="C5" s="68" t="s">
        <v>324</v>
      </c>
      <c r="D5" s="68" t="s">
        <v>82</v>
      </c>
      <c r="E5" s="68" t="s">
        <v>83</v>
      </c>
      <c r="F5" s="68" t="s">
        <v>649</v>
      </c>
      <c r="G5" s="68" t="s">
        <v>666</v>
      </c>
      <c r="H5" s="68" t="s">
        <v>667</v>
      </c>
      <c r="I5" s="68" t="s">
        <v>652</v>
      </c>
    </row>
    <row r="6" spans="2:9" x14ac:dyDescent="0.2">
      <c r="B6" s="24"/>
      <c r="C6" s="24"/>
      <c r="D6" s="24"/>
      <c r="E6" s="24"/>
      <c r="F6" s="24"/>
      <c r="G6" s="24"/>
      <c r="H6" s="24"/>
      <c r="I6" s="24"/>
    </row>
    <row r="7" spans="2:9" x14ac:dyDescent="0.2">
      <c r="B7" s="24" t="s">
        <v>84</v>
      </c>
      <c r="C7" s="24" t="s">
        <v>85</v>
      </c>
      <c r="D7" s="24"/>
      <c r="E7" s="24"/>
      <c r="F7" s="24"/>
      <c r="G7" s="24"/>
      <c r="H7" s="24"/>
      <c r="I7" s="24"/>
    </row>
    <row r="8" spans="2:9" x14ac:dyDescent="0.2">
      <c r="B8" s="24" t="s">
        <v>86</v>
      </c>
      <c r="C8" s="24" t="s">
        <v>411</v>
      </c>
      <c r="D8" s="31">
        <v>0</v>
      </c>
      <c r="E8" s="31">
        <f>75/100</f>
        <v>0.75</v>
      </c>
      <c r="F8" s="51">
        <v>0</v>
      </c>
      <c r="G8" s="51">
        <v>0</v>
      </c>
      <c r="H8" s="26">
        <f>F8*D8</f>
        <v>0</v>
      </c>
      <c r="I8" s="26">
        <f>G8*E8</f>
        <v>0</v>
      </c>
    </row>
    <row r="9" spans="2:9" x14ac:dyDescent="0.2">
      <c r="B9" s="24" t="s">
        <v>94</v>
      </c>
      <c r="C9" s="24" t="s">
        <v>412</v>
      </c>
      <c r="D9" s="31">
        <v>0</v>
      </c>
      <c r="E9" s="31">
        <f>150/100</f>
        <v>1.5</v>
      </c>
      <c r="F9" s="51">
        <v>0</v>
      </c>
      <c r="G9" s="51">
        <v>0</v>
      </c>
      <c r="H9" s="26">
        <f t="shared" ref="H9:H15" si="0">F9*D9</f>
        <v>0</v>
      </c>
      <c r="I9" s="26">
        <f t="shared" ref="I9:I15" si="1">G9*E9</f>
        <v>0</v>
      </c>
    </row>
    <row r="10" spans="2:9" x14ac:dyDescent="0.2">
      <c r="B10" s="24" t="s">
        <v>102</v>
      </c>
      <c r="C10" s="24" t="s">
        <v>413</v>
      </c>
      <c r="D10" s="31">
        <v>0</v>
      </c>
      <c r="E10" s="31">
        <f>205/100</f>
        <v>2.0499999999999998</v>
      </c>
      <c r="F10" s="51">
        <v>0</v>
      </c>
      <c r="G10" s="51">
        <v>0</v>
      </c>
      <c r="H10" s="26">
        <f t="shared" si="0"/>
        <v>0</v>
      </c>
      <c r="I10" s="26">
        <f t="shared" si="1"/>
        <v>0</v>
      </c>
    </row>
    <row r="11" spans="2:9" x14ac:dyDescent="0.2">
      <c r="B11" s="24" t="s">
        <v>110</v>
      </c>
      <c r="C11" s="24" t="s">
        <v>414</v>
      </c>
      <c r="D11" s="31">
        <v>0</v>
      </c>
      <c r="E11" s="31">
        <f>225/100</f>
        <v>2.25</v>
      </c>
      <c r="F11" s="51">
        <v>0</v>
      </c>
      <c r="G11" s="51">
        <v>0</v>
      </c>
      <c r="H11" s="26">
        <f t="shared" si="0"/>
        <v>0</v>
      </c>
      <c r="I11" s="26">
        <f t="shared" si="1"/>
        <v>0</v>
      </c>
    </row>
    <row r="12" spans="2:9" x14ac:dyDescent="0.2">
      <c r="B12" s="24" t="s">
        <v>209</v>
      </c>
      <c r="C12" s="24" t="s">
        <v>415</v>
      </c>
      <c r="D12" s="31">
        <f>2400/100</f>
        <v>24</v>
      </c>
      <c r="E12" s="31">
        <f>3600/100</f>
        <v>36</v>
      </c>
      <c r="F12" s="51">
        <v>0</v>
      </c>
      <c r="G12" s="51">
        <v>0</v>
      </c>
      <c r="H12" s="26">
        <f t="shared" si="0"/>
        <v>0</v>
      </c>
      <c r="I12" s="26">
        <f t="shared" si="1"/>
        <v>0</v>
      </c>
    </row>
    <row r="13" spans="2:9" x14ac:dyDescent="0.2">
      <c r="B13" s="24" t="s">
        <v>211</v>
      </c>
      <c r="C13" s="24" t="s">
        <v>416</v>
      </c>
      <c r="D13" s="31">
        <v>0</v>
      </c>
      <c r="E13" s="31">
        <f>600/100</f>
        <v>6</v>
      </c>
      <c r="F13" s="51">
        <v>0</v>
      </c>
      <c r="G13" s="51">
        <v>0</v>
      </c>
      <c r="H13" s="26">
        <f t="shared" si="0"/>
        <v>0</v>
      </c>
      <c r="I13" s="26">
        <f t="shared" si="1"/>
        <v>0</v>
      </c>
    </row>
    <row r="14" spans="2:9" x14ac:dyDescent="0.2">
      <c r="B14" s="24" t="s">
        <v>213</v>
      </c>
      <c r="C14" s="24" t="s">
        <v>417</v>
      </c>
      <c r="D14" s="31">
        <v>0</v>
      </c>
      <c r="E14" s="31">
        <f>310/100</f>
        <v>3.1</v>
      </c>
      <c r="F14" s="51">
        <v>0</v>
      </c>
      <c r="G14" s="51">
        <v>0</v>
      </c>
      <c r="H14" s="26">
        <f t="shared" si="0"/>
        <v>0</v>
      </c>
      <c r="I14" s="26">
        <f t="shared" si="1"/>
        <v>0</v>
      </c>
    </row>
    <row r="15" spans="2:9" x14ac:dyDescent="0.2">
      <c r="B15" s="24" t="s">
        <v>215</v>
      </c>
      <c r="C15" s="24" t="s">
        <v>418</v>
      </c>
      <c r="D15" s="31">
        <v>0</v>
      </c>
      <c r="E15" s="31">
        <f>810/100</f>
        <v>8.1</v>
      </c>
      <c r="F15" s="51">
        <v>0</v>
      </c>
      <c r="G15" s="51">
        <v>0</v>
      </c>
      <c r="H15" s="26">
        <f t="shared" si="0"/>
        <v>0</v>
      </c>
      <c r="I15" s="26">
        <f t="shared" si="1"/>
        <v>0</v>
      </c>
    </row>
    <row r="16" spans="2:9" s="30" customFormat="1" ht="15" x14ac:dyDescent="0.25">
      <c r="B16" s="23"/>
      <c r="C16" s="23" t="s">
        <v>124</v>
      </c>
      <c r="D16" s="32">
        <f>D12</f>
        <v>24</v>
      </c>
      <c r="E16" s="32">
        <f>SUM(E8:E15)</f>
        <v>59.75</v>
      </c>
      <c r="F16" s="52"/>
      <c r="G16" s="52"/>
      <c r="H16" s="28">
        <f>SUM(H8:H15)</f>
        <v>0</v>
      </c>
      <c r="I16" s="28">
        <f>SUM(I8:I15)</f>
        <v>0</v>
      </c>
    </row>
    <row r="17" spans="2:9" s="30" customFormat="1" ht="15" x14ac:dyDescent="0.25">
      <c r="B17" s="23" t="s">
        <v>125</v>
      </c>
      <c r="C17" s="23" t="s">
        <v>126</v>
      </c>
      <c r="D17" s="32"/>
      <c r="E17" s="32"/>
      <c r="F17" s="52"/>
      <c r="G17" s="52"/>
      <c r="H17" s="23"/>
      <c r="I17" s="23"/>
    </row>
    <row r="18" spans="2:9" x14ac:dyDescent="0.2">
      <c r="B18" s="24" t="s">
        <v>127</v>
      </c>
      <c r="C18" s="24" t="s">
        <v>419</v>
      </c>
      <c r="D18" s="31">
        <v>0</v>
      </c>
      <c r="E18" s="31">
        <f>1125/100</f>
        <v>11.25</v>
      </c>
      <c r="F18" s="51">
        <v>0</v>
      </c>
      <c r="G18" s="51">
        <f>I18/E18</f>
        <v>0.1031111111111111</v>
      </c>
      <c r="H18" s="26">
        <f>F18*D18</f>
        <v>0</v>
      </c>
      <c r="I18" s="26">
        <f>232*50000/10000000</f>
        <v>1.1599999999999999</v>
      </c>
    </row>
    <row r="19" spans="2:9" x14ac:dyDescent="0.2">
      <c r="B19" s="24" t="s">
        <v>129</v>
      </c>
      <c r="C19" s="24" t="s">
        <v>420</v>
      </c>
      <c r="D19" s="31">
        <v>0</v>
      </c>
      <c r="E19" s="31">
        <f>480/100</f>
        <v>4.8</v>
      </c>
      <c r="F19" s="51">
        <v>0</v>
      </c>
      <c r="G19" s="51">
        <v>0</v>
      </c>
      <c r="H19" s="26">
        <f t="shared" ref="H19:H28" si="2">F19*D19</f>
        <v>0</v>
      </c>
      <c r="I19" s="26">
        <f>G19*E19</f>
        <v>0</v>
      </c>
    </row>
    <row r="20" spans="2:9" x14ac:dyDescent="0.2">
      <c r="B20" s="24" t="s">
        <v>131</v>
      </c>
      <c r="C20" s="24" t="s">
        <v>421</v>
      </c>
      <c r="D20" s="31">
        <v>0</v>
      </c>
      <c r="E20" s="31">
        <f>85/100</f>
        <v>0.85</v>
      </c>
      <c r="F20" s="51">
        <v>0</v>
      </c>
      <c r="G20" s="51">
        <v>0</v>
      </c>
      <c r="H20" s="26">
        <f t="shared" si="2"/>
        <v>0</v>
      </c>
      <c r="I20" s="26">
        <f t="shared" ref="I20:I28" si="3">G20*E20</f>
        <v>0</v>
      </c>
    </row>
    <row r="21" spans="2:9" x14ac:dyDescent="0.2">
      <c r="B21" s="24" t="s">
        <v>422</v>
      </c>
      <c r="C21" s="24" t="s">
        <v>423</v>
      </c>
      <c r="D21" s="31">
        <v>0</v>
      </c>
      <c r="E21" s="31">
        <f>60/100</f>
        <v>0.6</v>
      </c>
      <c r="F21" s="51">
        <v>0</v>
      </c>
      <c r="G21" s="51">
        <v>0</v>
      </c>
      <c r="H21" s="26">
        <f t="shared" si="2"/>
        <v>0</v>
      </c>
      <c r="I21" s="26">
        <f t="shared" si="3"/>
        <v>0</v>
      </c>
    </row>
    <row r="22" spans="2:9" x14ac:dyDescent="0.2">
      <c r="B22" s="24" t="s">
        <v>132</v>
      </c>
      <c r="C22" s="24" t="s">
        <v>137</v>
      </c>
      <c r="D22" s="31">
        <v>0</v>
      </c>
      <c r="E22" s="31">
        <f>15/100</f>
        <v>0.15</v>
      </c>
      <c r="F22" s="51">
        <v>0</v>
      </c>
      <c r="G22" s="51">
        <v>0</v>
      </c>
      <c r="H22" s="26">
        <f t="shared" si="2"/>
        <v>0</v>
      </c>
      <c r="I22" s="26">
        <f t="shared" si="3"/>
        <v>0</v>
      </c>
    </row>
    <row r="23" spans="2:9" x14ac:dyDescent="0.2">
      <c r="B23" s="24" t="s">
        <v>134</v>
      </c>
      <c r="C23" s="24" t="s">
        <v>424</v>
      </c>
      <c r="D23" s="31">
        <v>0</v>
      </c>
      <c r="E23" s="31">
        <f>210/100</f>
        <v>2.1</v>
      </c>
      <c r="F23" s="51">
        <v>0</v>
      </c>
      <c r="G23" s="51">
        <v>0</v>
      </c>
      <c r="H23" s="26">
        <f t="shared" si="2"/>
        <v>0</v>
      </c>
      <c r="I23" s="26">
        <f t="shared" si="3"/>
        <v>0</v>
      </c>
    </row>
    <row r="24" spans="2:9" x14ac:dyDescent="0.2">
      <c r="B24" s="24" t="s">
        <v>136</v>
      </c>
      <c r="C24" s="24" t="s">
        <v>425</v>
      </c>
      <c r="D24" s="31">
        <v>0</v>
      </c>
      <c r="E24" s="31">
        <f>25/100</f>
        <v>0.25</v>
      </c>
      <c r="F24" s="51">
        <v>0</v>
      </c>
      <c r="G24" s="51">
        <v>0</v>
      </c>
      <c r="H24" s="26">
        <f t="shared" si="2"/>
        <v>0</v>
      </c>
      <c r="I24" s="26">
        <f t="shared" si="3"/>
        <v>0</v>
      </c>
    </row>
    <row r="25" spans="2:9" x14ac:dyDescent="0.2">
      <c r="B25" s="24" t="s">
        <v>138</v>
      </c>
      <c r="C25" s="24" t="s">
        <v>426</v>
      </c>
      <c r="D25" s="31">
        <v>0</v>
      </c>
      <c r="E25" s="31">
        <f>35/100</f>
        <v>0.35</v>
      </c>
      <c r="F25" s="51">
        <v>0</v>
      </c>
      <c r="G25" s="51">
        <v>0</v>
      </c>
      <c r="H25" s="26">
        <f t="shared" si="2"/>
        <v>0</v>
      </c>
      <c r="I25" s="26">
        <f t="shared" si="3"/>
        <v>0</v>
      </c>
    </row>
    <row r="26" spans="2:9" x14ac:dyDescent="0.2">
      <c r="B26" s="24" t="s">
        <v>140</v>
      </c>
      <c r="C26" s="24" t="s">
        <v>427</v>
      </c>
      <c r="D26" s="31">
        <v>0</v>
      </c>
      <c r="E26" s="31">
        <f>60/100</f>
        <v>0.6</v>
      </c>
      <c r="F26" s="51">
        <v>0</v>
      </c>
      <c r="G26" s="51">
        <v>0</v>
      </c>
      <c r="H26" s="26">
        <f t="shared" si="2"/>
        <v>0</v>
      </c>
      <c r="I26" s="26">
        <f t="shared" si="3"/>
        <v>0</v>
      </c>
    </row>
    <row r="27" spans="2:9" x14ac:dyDescent="0.2">
      <c r="B27" s="24" t="s">
        <v>141</v>
      </c>
      <c r="C27" s="24" t="s">
        <v>428</v>
      </c>
      <c r="D27" s="31">
        <v>0</v>
      </c>
      <c r="E27" s="31">
        <f>60/100</f>
        <v>0.6</v>
      </c>
      <c r="F27" s="51">
        <v>0</v>
      </c>
      <c r="G27" s="51">
        <v>0</v>
      </c>
      <c r="H27" s="26">
        <f t="shared" si="2"/>
        <v>0</v>
      </c>
      <c r="I27" s="26">
        <f t="shared" si="3"/>
        <v>0</v>
      </c>
    </row>
    <row r="28" spans="2:9" x14ac:dyDescent="0.2">
      <c r="B28" s="24" t="s">
        <v>143</v>
      </c>
      <c r="C28" s="24" t="s">
        <v>429</v>
      </c>
      <c r="D28" s="31">
        <v>0</v>
      </c>
      <c r="E28" s="31">
        <f>100/100</f>
        <v>1</v>
      </c>
      <c r="F28" s="51">
        <v>0</v>
      </c>
      <c r="G28" s="51">
        <v>0</v>
      </c>
      <c r="H28" s="26">
        <f t="shared" si="2"/>
        <v>0</v>
      </c>
      <c r="I28" s="26">
        <f t="shared" si="3"/>
        <v>0</v>
      </c>
    </row>
    <row r="29" spans="2:9" s="30" customFormat="1" ht="15" x14ac:dyDescent="0.25">
      <c r="B29" s="23"/>
      <c r="C29" s="23" t="s">
        <v>148</v>
      </c>
      <c r="D29" s="32">
        <v>0</v>
      </c>
      <c r="E29" s="32">
        <f>SUM(E18:E28)</f>
        <v>22.550000000000008</v>
      </c>
      <c r="F29" s="52"/>
      <c r="G29" s="52"/>
      <c r="H29" s="28">
        <f>SUM(H18:H28)</f>
        <v>0</v>
      </c>
      <c r="I29" s="28">
        <f>SUM(I18:I28)</f>
        <v>1.1599999999999999</v>
      </c>
    </row>
    <row r="30" spans="2:9" s="30" customFormat="1" ht="15" x14ac:dyDescent="0.25">
      <c r="B30" s="23"/>
      <c r="C30" s="23" t="s">
        <v>149</v>
      </c>
      <c r="D30" s="32">
        <f>D16</f>
        <v>24</v>
      </c>
      <c r="E30" s="32">
        <f>E29+E16</f>
        <v>82.300000000000011</v>
      </c>
      <c r="F30" s="52"/>
      <c r="G30" s="52"/>
      <c r="H30" s="28">
        <f>H16+H29</f>
        <v>0</v>
      </c>
      <c r="I30" s="28">
        <f>I16+I29</f>
        <v>1.1599999999999999</v>
      </c>
    </row>
    <row r="31" spans="2:9" s="30" customFormat="1" ht="15" x14ac:dyDescent="0.25">
      <c r="B31" s="23" t="s">
        <v>150</v>
      </c>
      <c r="C31" s="23" t="s">
        <v>151</v>
      </c>
      <c r="D31" s="23"/>
      <c r="E31" s="23"/>
      <c r="F31" s="52"/>
      <c r="G31" s="52"/>
      <c r="H31" s="23"/>
      <c r="I31" s="23"/>
    </row>
    <row r="32" spans="2:9" x14ac:dyDescent="0.2">
      <c r="B32" s="24" t="s">
        <v>152</v>
      </c>
      <c r="C32" s="24" t="s">
        <v>430</v>
      </c>
      <c r="D32" s="31">
        <v>0</v>
      </c>
      <c r="E32" s="31">
        <f>235/100</f>
        <v>2.35</v>
      </c>
      <c r="F32" s="51">
        <v>0</v>
      </c>
      <c r="G32" s="51">
        <v>0</v>
      </c>
      <c r="H32" s="26">
        <f>F32*D32</f>
        <v>0</v>
      </c>
      <c r="I32" s="26">
        <f>G32*E32</f>
        <v>0</v>
      </c>
    </row>
    <row r="33" spans="2:9" x14ac:dyDescent="0.2">
      <c r="B33" s="24" t="s">
        <v>154</v>
      </c>
      <c r="C33" s="24" t="s">
        <v>155</v>
      </c>
      <c r="D33" s="31">
        <v>0</v>
      </c>
      <c r="E33" s="31">
        <f>165/100</f>
        <v>1.65</v>
      </c>
      <c r="F33" s="51">
        <v>0</v>
      </c>
      <c r="G33" s="51">
        <v>0</v>
      </c>
      <c r="H33" s="26">
        <f t="shared" ref="H33:H36" si="4">F33*D33</f>
        <v>0</v>
      </c>
      <c r="I33" s="26">
        <f t="shared" ref="I33:I36" si="5">G33*E33</f>
        <v>0</v>
      </c>
    </row>
    <row r="34" spans="2:9" x14ac:dyDescent="0.2">
      <c r="B34" s="24" t="s">
        <v>156</v>
      </c>
      <c r="C34" s="24" t="s">
        <v>431</v>
      </c>
      <c r="D34" s="31">
        <v>0</v>
      </c>
      <c r="E34" s="31">
        <f>105/100</f>
        <v>1.05</v>
      </c>
      <c r="F34" s="51">
        <v>0</v>
      </c>
      <c r="G34" s="51">
        <v>0</v>
      </c>
      <c r="H34" s="26">
        <f t="shared" si="4"/>
        <v>0</v>
      </c>
      <c r="I34" s="26">
        <f t="shared" si="5"/>
        <v>0</v>
      </c>
    </row>
    <row r="35" spans="2:9" x14ac:dyDescent="0.2">
      <c r="B35" s="24" t="s">
        <v>285</v>
      </c>
      <c r="C35" s="24" t="s">
        <v>432</v>
      </c>
      <c r="D35" s="31">
        <v>0</v>
      </c>
      <c r="E35" s="31">
        <f>70/100</f>
        <v>0.7</v>
      </c>
      <c r="F35" s="51">
        <v>0</v>
      </c>
      <c r="G35" s="51">
        <v>0</v>
      </c>
      <c r="H35" s="26">
        <f t="shared" si="4"/>
        <v>0</v>
      </c>
      <c r="I35" s="26">
        <f t="shared" si="5"/>
        <v>0</v>
      </c>
    </row>
    <row r="36" spans="2:9" x14ac:dyDescent="0.2">
      <c r="B36" s="24" t="s">
        <v>352</v>
      </c>
      <c r="C36" s="24" t="s">
        <v>433</v>
      </c>
      <c r="D36" s="31">
        <v>0</v>
      </c>
      <c r="E36" s="31">
        <f>260/100</f>
        <v>2.6</v>
      </c>
      <c r="F36" s="51">
        <v>0</v>
      </c>
      <c r="G36" s="51">
        <v>0</v>
      </c>
      <c r="H36" s="26">
        <f t="shared" si="4"/>
        <v>0</v>
      </c>
      <c r="I36" s="26">
        <f t="shared" si="5"/>
        <v>0</v>
      </c>
    </row>
    <row r="37" spans="2:9" s="30" customFormat="1" ht="15" x14ac:dyDescent="0.25">
      <c r="B37" s="23"/>
      <c r="C37" s="23" t="s">
        <v>160</v>
      </c>
      <c r="D37" s="32">
        <v>0</v>
      </c>
      <c r="E37" s="32">
        <f>SUM(E32:E36)</f>
        <v>8.35</v>
      </c>
      <c r="F37" s="52"/>
      <c r="G37" s="52"/>
      <c r="H37" s="28">
        <f>SUM(H32:H36)</f>
        <v>0</v>
      </c>
      <c r="I37" s="28">
        <f>SUM(I32:I36)</f>
        <v>0</v>
      </c>
    </row>
    <row r="38" spans="2:9" ht="15" x14ac:dyDescent="0.25">
      <c r="B38" s="24"/>
      <c r="C38" s="23" t="s">
        <v>161</v>
      </c>
      <c r="D38" s="32">
        <f>D30</f>
        <v>24</v>
      </c>
      <c r="E38" s="32">
        <f>E30+E37</f>
        <v>90.65</v>
      </c>
      <c r="F38" s="51"/>
      <c r="G38" s="51"/>
      <c r="H38" s="26">
        <f>H30+H37</f>
        <v>0</v>
      </c>
      <c r="I38" s="26">
        <f>I30+I37</f>
        <v>1.1599999999999999</v>
      </c>
    </row>
    <row r="39" spans="2:9" x14ac:dyDescent="0.2">
      <c r="B39" s="24" t="s">
        <v>162</v>
      </c>
      <c r="C39" s="24" t="s">
        <v>163</v>
      </c>
      <c r="D39" s="24"/>
      <c r="E39" s="24"/>
      <c r="F39" s="24"/>
      <c r="G39" s="24"/>
      <c r="H39" s="24"/>
      <c r="I39" s="24"/>
    </row>
    <row r="40" spans="2:9" s="30" customFormat="1" ht="15" x14ac:dyDescent="0.25">
      <c r="B40" s="23" t="s">
        <v>164</v>
      </c>
      <c r="C40" s="23" t="s">
        <v>434</v>
      </c>
      <c r="D40" s="23"/>
      <c r="E40" s="23"/>
      <c r="F40" s="23"/>
      <c r="G40" s="23"/>
      <c r="H40" s="23"/>
      <c r="I40" s="23"/>
    </row>
    <row r="41" spans="2:9" s="30" customFormat="1" ht="15" x14ac:dyDescent="0.25">
      <c r="B41" s="23" t="s">
        <v>166</v>
      </c>
      <c r="C41" s="23" t="s">
        <v>435</v>
      </c>
      <c r="D41" s="284">
        <f>D38</f>
        <v>24</v>
      </c>
      <c r="E41" s="291"/>
      <c r="F41" s="28">
        <f>H38</f>
        <v>0</v>
      </c>
      <c r="G41" s="23"/>
      <c r="H41" s="23"/>
      <c r="I41" s="23"/>
    </row>
    <row r="42" spans="2:9" x14ac:dyDescent="0.2">
      <c r="B42" s="24" t="s">
        <v>167</v>
      </c>
      <c r="C42" s="24" t="s">
        <v>436</v>
      </c>
      <c r="D42" s="282">
        <f>145/100</f>
        <v>1.45</v>
      </c>
      <c r="E42" s="290"/>
      <c r="F42" s="24">
        <f>F41*6%</f>
        <v>0</v>
      </c>
      <c r="G42" s="24"/>
      <c r="H42" s="24"/>
      <c r="I42" s="24"/>
    </row>
    <row r="43" spans="2:9" x14ac:dyDescent="0.2">
      <c r="B43" s="24" t="s">
        <v>169</v>
      </c>
      <c r="C43" s="24" t="s">
        <v>437</v>
      </c>
      <c r="D43" s="282">
        <f>190/100</f>
        <v>1.9</v>
      </c>
      <c r="E43" s="290"/>
      <c r="F43" s="24">
        <f>(F41+F42)*7.5%</f>
        <v>0</v>
      </c>
      <c r="G43" s="24"/>
      <c r="H43" s="24"/>
      <c r="I43" s="24"/>
    </row>
    <row r="44" spans="2:9" x14ac:dyDescent="0.2">
      <c r="B44" s="24" t="s">
        <v>171</v>
      </c>
      <c r="C44" s="24" t="s">
        <v>438</v>
      </c>
      <c r="D44" s="282">
        <f>490/100</f>
        <v>4.9000000000000004</v>
      </c>
      <c r="E44" s="290"/>
      <c r="F44" s="24">
        <f>(F41+F42+F43)*18%</f>
        <v>0</v>
      </c>
      <c r="G44" s="24"/>
      <c r="H44" s="24"/>
      <c r="I44" s="24"/>
    </row>
    <row r="45" spans="2:9" x14ac:dyDescent="0.2">
      <c r="B45" s="24" t="s">
        <v>173</v>
      </c>
      <c r="C45" s="24" t="s">
        <v>439</v>
      </c>
      <c r="D45" s="282">
        <f>125/100</f>
        <v>1.25</v>
      </c>
      <c r="E45" s="290"/>
      <c r="F45" s="24">
        <f>(F41+F42)*15%</f>
        <v>0</v>
      </c>
      <c r="G45" s="24"/>
      <c r="H45" s="24"/>
      <c r="I45" s="24"/>
    </row>
    <row r="46" spans="2:9" s="30" customFormat="1" ht="15" x14ac:dyDescent="0.25">
      <c r="B46" s="23" t="s">
        <v>175</v>
      </c>
      <c r="C46" s="23" t="s">
        <v>440</v>
      </c>
      <c r="D46" s="284">
        <f>SUM(D41:D45)</f>
        <v>33.5</v>
      </c>
      <c r="E46" s="291"/>
      <c r="F46" s="28">
        <f>SUM(F41+F42+F43+F44+F45)</f>
        <v>0</v>
      </c>
      <c r="G46" s="23"/>
      <c r="H46" s="23"/>
      <c r="I46" s="23"/>
    </row>
    <row r="47" spans="2:9" s="30" customFormat="1" ht="15" x14ac:dyDescent="0.25">
      <c r="B47" s="23" t="s">
        <v>177</v>
      </c>
      <c r="C47" s="23" t="s">
        <v>178</v>
      </c>
      <c r="D47" s="284"/>
      <c r="E47" s="291"/>
      <c r="F47" s="23"/>
      <c r="G47" s="23"/>
      <c r="H47" s="23"/>
      <c r="I47" s="23"/>
    </row>
    <row r="48" spans="2:9" s="30" customFormat="1" ht="15" x14ac:dyDescent="0.25">
      <c r="B48" s="23" t="s">
        <v>179</v>
      </c>
      <c r="C48" s="23" t="s">
        <v>441</v>
      </c>
      <c r="D48" s="284">
        <f>9065/100</f>
        <v>90.65</v>
      </c>
      <c r="E48" s="291"/>
      <c r="F48" s="28">
        <f>I38</f>
        <v>1.1599999999999999</v>
      </c>
      <c r="G48" s="23"/>
      <c r="H48" s="23"/>
      <c r="I48" s="23"/>
    </row>
    <row r="49" spans="2:9" x14ac:dyDescent="0.2">
      <c r="B49" s="24" t="s">
        <v>181</v>
      </c>
      <c r="C49" s="24" t="s">
        <v>442</v>
      </c>
      <c r="D49" s="282">
        <f>1630/100</f>
        <v>16.3</v>
      </c>
      <c r="E49" s="290"/>
      <c r="F49" s="24">
        <f>F48*18%</f>
        <v>0.20879999999999999</v>
      </c>
      <c r="G49" s="24"/>
      <c r="H49" s="24"/>
      <c r="I49" s="24"/>
    </row>
    <row r="50" spans="2:9" x14ac:dyDescent="0.2">
      <c r="B50" s="24" t="s">
        <v>183</v>
      </c>
      <c r="C50" s="24" t="s">
        <v>443</v>
      </c>
      <c r="D50" s="282">
        <f>455/100</f>
        <v>4.55</v>
      </c>
      <c r="E50" s="290"/>
      <c r="F50" s="24">
        <f>F48*5%</f>
        <v>5.7999999999999996E-2</v>
      </c>
      <c r="G50" s="24"/>
      <c r="H50" s="24"/>
      <c r="I50" s="24"/>
    </row>
    <row r="51" spans="2:9" ht="15" x14ac:dyDescent="0.25">
      <c r="B51" s="24" t="s">
        <v>175</v>
      </c>
      <c r="C51" s="23" t="s">
        <v>444</v>
      </c>
      <c r="D51" s="284">
        <f>SUM(D48:D50)</f>
        <v>111.5</v>
      </c>
      <c r="E51" s="291"/>
      <c r="F51" s="28">
        <f>F48+F49+F50</f>
        <v>1.4267999999999998</v>
      </c>
      <c r="G51" s="24"/>
      <c r="H51" s="24"/>
      <c r="I51" s="24"/>
    </row>
    <row r="52" spans="2:9" ht="15" x14ac:dyDescent="0.25">
      <c r="B52" s="24"/>
      <c r="C52" s="23" t="s">
        <v>445</v>
      </c>
      <c r="D52" s="284">
        <f>D46+D51</f>
        <v>145</v>
      </c>
      <c r="E52" s="291"/>
      <c r="F52" s="28">
        <f>F51+F46</f>
        <v>1.4267999999999998</v>
      </c>
      <c r="G52" s="24"/>
      <c r="H52" s="24"/>
      <c r="I52" s="24"/>
    </row>
    <row r="53" spans="2:9" x14ac:dyDescent="0.2">
      <c r="B53" s="24" t="s">
        <v>187</v>
      </c>
      <c r="C53" s="24" t="s">
        <v>446</v>
      </c>
      <c r="D53" s="282">
        <f>725/100</f>
        <v>7.25</v>
      </c>
      <c r="E53" s="290"/>
      <c r="F53" s="24">
        <f>F52*5%</f>
        <v>7.1340000000000001E-2</v>
      </c>
      <c r="G53" s="24"/>
      <c r="H53" s="24"/>
      <c r="I53" s="24"/>
    </row>
    <row r="54" spans="2:9" x14ac:dyDescent="0.2">
      <c r="B54" s="24" t="s">
        <v>189</v>
      </c>
      <c r="C54" s="24" t="s">
        <v>447</v>
      </c>
      <c r="D54" s="282">
        <f>450/100</f>
        <v>4.5</v>
      </c>
      <c r="E54" s="290"/>
      <c r="F54" s="24">
        <f>232*20000/10000000</f>
        <v>0.46400000000000002</v>
      </c>
      <c r="G54" s="24"/>
      <c r="H54" s="24"/>
      <c r="I54" s="24"/>
    </row>
    <row r="55" spans="2:9" x14ac:dyDescent="0.2">
      <c r="B55" s="24" t="s">
        <v>191</v>
      </c>
      <c r="C55" s="24" t="s">
        <v>448</v>
      </c>
      <c r="D55" s="282">
        <f>1375/100</f>
        <v>13.75</v>
      </c>
      <c r="E55" s="290"/>
      <c r="F55" s="24">
        <f>F52*12%</f>
        <v>0.17121599999999998</v>
      </c>
      <c r="G55" s="24"/>
      <c r="H55" s="24"/>
      <c r="I55" s="24"/>
    </row>
    <row r="56" spans="2:9" x14ac:dyDescent="0.2">
      <c r="B56" s="24" t="s">
        <v>193</v>
      </c>
      <c r="C56" s="24" t="s">
        <v>449</v>
      </c>
      <c r="D56" s="282">
        <f>330/100</f>
        <v>3.3</v>
      </c>
      <c r="E56" s="290"/>
      <c r="F56" s="24">
        <f>(F54+F55)*18%</f>
        <v>0.11433887999999999</v>
      </c>
      <c r="G56" s="24"/>
      <c r="H56" s="24"/>
      <c r="I56" s="24"/>
    </row>
    <row r="57" spans="2:9" ht="15" x14ac:dyDescent="0.25">
      <c r="B57" s="24"/>
      <c r="C57" s="23" t="s">
        <v>195</v>
      </c>
      <c r="D57" s="284">
        <f>SUM(D52:D56)</f>
        <v>173.8</v>
      </c>
      <c r="E57" s="291"/>
      <c r="F57" s="26">
        <f>SUM(F52:F56)</f>
        <v>2.2476948799999996</v>
      </c>
      <c r="G57" s="24"/>
      <c r="H57" s="24"/>
      <c r="I57" s="24"/>
    </row>
    <row r="58" spans="2:9" ht="15" x14ac:dyDescent="0.25">
      <c r="B58" s="24" t="s">
        <v>196</v>
      </c>
      <c r="C58" s="23" t="s">
        <v>248</v>
      </c>
      <c r="D58" s="284">
        <f>D57</f>
        <v>173.8</v>
      </c>
      <c r="E58" s="291"/>
      <c r="F58" s="26">
        <f>F57</f>
        <v>2.2476948799999996</v>
      </c>
      <c r="G58" s="24"/>
      <c r="H58" s="24"/>
      <c r="I58" s="24"/>
    </row>
    <row r="59" spans="2:9" ht="15" x14ac:dyDescent="0.25">
      <c r="B59" s="24" t="s">
        <v>200</v>
      </c>
      <c r="C59" s="23" t="s">
        <v>348</v>
      </c>
      <c r="D59" s="284">
        <f>2450/100</f>
        <v>24.5</v>
      </c>
      <c r="E59" s="291"/>
      <c r="F59" s="24"/>
      <c r="G59" s="24"/>
      <c r="H59" s="24"/>
      <c r="I59" s="24"/>
    </row>
    <row r="60" spans="2:9" ht="15" x14ac:dyDescent="0.25">
      <c r="B60" s="24" t="s">
        <v>198</v>
      </c>
      <c r="C60" s="23" t="s">
        <v>450</v>
      </c>
      <c r="D60" s="284">
        <f>14930/100</f>
        <v>149.30000000000001</v>
      </c>
      <c r="E60" s="291"/>
      <c r="F60" s="28">
        <f>F58</f>
        <v>2.2476948799999996</v>
      </c>
      <c r="G60" s="24"/>
      <c r="H60" s="24"/>
      <c r="I60" s="24"/>
    </row>
    <row r="61" spans="2:9" x14ac:dyDescent="0.2">
      <c r="F61" s="27">
        <f>F60/D60</f>
        <v>1.5054888680509039E-2</v>
      </c>
    </row>
    <row r="62" spans="2:9" x14ac:dyDescent="0.2">
      <c r="E62" s="38">
        <f>D60+F60</f>
        <v>151.54769488000002</v>
      </c>
    </row>
    <row r="63" spans="2:9" x14ac:dyDescent="0.2">
      <c r="E63" s="38">
        <f>E62+'IU M&amp;E'!D72</f>
        <v>151.54769488000002</v>
      </c>
    </row>
    <row r="64" spans="2:9" x14ac:dyDescent="0.2">
      <c r="E64" s="22">
        <v>300</v>
      </c>
    </row>
    <row r="65" spans="5:5" x14ac:dyDescent="0.2">
      <c r="E65" s="38">
        <f>E64+E63</f>
        <v>451.54769487999999</v>
      </c>
    </row>
  </sheetData>
  <mergeCells count="20">
    <mergeCell ref="D59:E59"/>
    <mergeCell ref="D60:E60"/>
    <mergeCell ref="D58:E58"/>
    <mergeCell ref="D57:E57"/>
    <mergeCell ref="D56:E56"/>
    <mergeCell ref="D42:E42"/>
    <mergeCell ref="D41:E41"/>
    <mergeCell ref="D55:E55"/>
    <mergeCell ref="D46:E46"/>
    <mergeCell ref="D45:E45"/>
    <mergeCell ref="D44:E44"/>
    <mergeCell ref="D43:E43"/>
    <mergeCell ref="D48:E48"/>
    <mergeCell ref="D47:E47"/>
    <mergeCell ref="D54:E54"/>
    <mergeCell ref="D53:E53"/>
    <mergeCell ref="D52:E52"/>
    <mergeCell ref="D51:E51"/>
    <mergeCell ref="D50:E50"/>
    <mergeCell ref="D49:E49"/>
  </mergeCells>
  <pageMargins left="0.7" right="0.7" top="0.75" bottom="0.75" header="0.3" footer="0.3"/>
  <pageSetup paperSize="9" scale="72" fitToHeight="0" orientation="landscape" r:id="rId1"/>
  <rowBreaks count="1" manualBreakCount="1">
    <brk id="38" min="1" max="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47"/>
  <sheetViews>
    <sheetView workbookViewId="0">
      <selection activeCell="C8" sqref="C8"/>
    </sheetView>
  </sheetViews>
  <sheetFormatPr defaultRowHeight="15" x14ac:dyDescent="0.25"/>
  <cols>
    <col min="2" max="2" width="72.7109375" bestFit="1" customWidth="1"/>
    <col min="3" max="3" width="7.5703125" bestFit="1" customWidth="1"/>
    <col min="4" max="4" width="13.85546875" bestFit="1" customWidth="1"/>
  </cols>
  <sheetData>
    <row r="1" spans="1:4" x14ac:dyDescent="0.25">
      <c r="D1" t="s">
        <v>451</v>
      </c>
    </row>
    <row r="3" spans="1:4" x14ac:dyDescent="0.25">
      <c r="A3" s="2" t="s">
        <v>452</v>
      </c>
    </row>
    <row r="5" spans="1:4" x14ac:dyDescent="0.25">
      <c r="A5" s="3" t="s">
        <v>381</v>
      </c>
    </row>
    <row r="6" spans="1:4" x14ac:dyDescent="0.25">
      <c r="A6" s="9" t="s">
        <v>410</v>
      </c>
      <c r="B6" s="9" t="s">
        <v>324</v>
      </c>
      <c r="C6" s="9" t="s">
        <v>82</v>
      </c>
      <c r="D6" s="9" t="s">
        <v>83</v>
      </c>
    </row>
    <row r="7" spans="1:4" x14ac:dyDescent="0.25">
      <c r="A7" s="1">
        <v>1</v>
      </c>
      <c r="B7" s="1" t="s">
        <v>204</v>
      </c>
      <c r="C7" s="1"/>
      <c r="D7" s="1"/>
    </row>
    <row r="8" spans="1:4" x14ac:dyDescent="0.25">
      <c r="A8" s="1" t="s">
        <v>86</v>
      </c>
      <c r="B8" s="1" t="s">
        <v>453</v>
      </c>
      <c r="C8" s="5" t="s">
        <v>47</v>
      </c>
      <c r="D8" s="7">
        <f>360/100</f>
        <v>3.6</v>
      </c>
    </row>
    <row r="9" spans="1:4" x14ac:dyDescent="0.25">
      <c r="A9" s="1" t="s">
        <v>94</v>
      </c>
      <c r="B9" s="1" t="s">
        <v>454</v>
      </c>
      <c r="C9" s="5" t="s">
        <v>47</v>
      </c>
      <c r="D9" s="7">
        <f>200/100</f>
        <v>2</v>
      </c>
    </row>
    <row r="10" spans="1:4" x14ac:dyDescent="0.25">
      <c r="A10" s="1" t="s">
        <v>102</v>
      </c>
      <c r="B10" s="1" t="s">
        <v>455</v>
      </c>
      <c r="C10" s="5" t="s">
        <v>47</v>
      </c>
      <c r="D10" s="7">
        <f>180/100</f>
        <v>1.8</v>
      </c>
    </row>
    <row r="11" spans="1:4" x14ac:dyDescent="0.25">
      <c r="A11" s="1" t="s">
        <v>110</v>
      </c>
      <c r="B11" s="1" t="s">
        <v>456</v>
      </c>
      <c r="C11" s="5" t="s">
        <v>47</v>
      </c>
      <c r="D11" s="7">
        <f>100/100</f>
        <v>1</v>
      </c>
    </row>
    <row r="12" spans="1:4" x14ac:dyDescent="0.25">
      <c r="A12" s="1" t="s">
        <v>209</v>
      </c>
      <c r="B12" s="1" t="s">
        <v>457</v>
      </c>
      <c r="C12" s="5" t="s">
        <v>47</v>
      </c>
      <c r="D12" s="7">
        <f>120/100</f>
        <v>1.2</v>
      </c>
    </row>
    <row r="13" spans="1:4" x14ac:dyDescent="0.25">
      <c r="A13" s="1" t="s">
        <v>211</v>
      </c>
      <c r="B13" s="1" t="s">
        <v>458</v>
      </c>
      <c r="C13" s="5" t="s">
        <v>47</v>
      </c>
      <c r="D13" s="7">
        <f>210/100</f>
        <v>2.1</v>
      </c>
    </row>
    <row r="14" spans="1:4" x14ac:dyDescent="0.25">
      <c r="A14" s="1" t="s">
        <v>213</v>
      </c>
      <c r="B14" s="1" t="s">
        <v>459</v>
      </c>
      <c r="C14" s="5" t="s">
        <v>47</v>
      </c>
      <c r="D14" s="7">
        <f>35/100</f>
        <v>0.35</v>
      </c>
    </row>
    <row r="15" spans="1:4" x14ac:dyDescent="0.25">
      <c r="A15" s="1" t="s">
        <v>215</v>
      </c>
      <c r="B15" s="1" t="s">
        <v>460</v>
      </c>
      <c r="C15" s="5" t="s">
        <v>47</v>
      </c>
      <c r="D15" s="7">
        <f>60/100</f>
        <v>0.6</v>
      </c>
    </row>
    <row r="16" spans="1:4" x14ac:dyDescent="0.25">
      <c r="A16" s="1" t="s">
        <v>217</v>
      </c>
      <c r="B16" s="1" t="s">
        <v>461</v>
      </c>
      <c r="C16" s="5" t="s">
        <v>47</v>
      </c>
      <c r="D16" s="7">
        <f>375/100</f>
        <v>3.75</v>
      </c>
    </row>
    <row r="17" spans="1:4" x14ac:dyDescent="0.25">
      <c r="A17" s="1" t="s">
        <v>219</v>
      </c>
      <c r="B17" s="1" t="s">
        <v>462</v>
      </c>
      <c r="C17" s="5" t="s">
        <v>47</v>
      </c>
      <c r="D17" s="7">
        <f>35/100</f>
        <v>0.35</v>
      </c>
    </row>
    <row r="18" spans="1:4" x14ac:dyDescent="0.25">
      <c r="A18" s="1" t="s">
        <v>268</v>
      </c>
      <c r="B18" s="1" t="s">
        <v>463</v>
      </c>
      <c r="C18" s="5"/>
      <c r="D18" s="7">
        <f>150/100</f>
        <v>1.5</v>
      </c>
    </row>
    <row r="19" spans="1:4" x14ac:dyDescent="0.25">
      <c r="A19" s="1" t="s">
        <v>222</v>
      </c>
      <c r="B19" s="1" t="s">
        <v>464</v>
      </c>
      <c r="C19" s="5" t="s">
        <v>47</v>
      </c>
      <c r="D19" s="7">
        <f>15/100</f>
        <v>0.15</v>
      </c>
    </row>
    <row r="20" spans="1:4" x14ac:dyDescent="0.25">
      <c r="A20" s="1" t="s">
        <v>224</v>
      </c>
      <c r="B20" s="1" t="s">
        <v>465</v>
      </c>
      <c r="C20" s="5" t="s">
        <v>47</v>
      </c>
      <c r="D20" s="7">
        <f>25/100</f>
        <v>0.25</v>
      </c>
    </row>
    <row r="21" spans="1:4" x14ac:dyDescent="0.25">
      <c r="A21" s="1" t="s">
        <v>226</v>
      </c>
      <c r="B21" s="1" t="s">
        <v>466</v>
      </c>
      <c r="C21" s="5" t="s">
        <v>47</v>
      </c>
      <c r="D21" s="7">
        <f>20/100</f>
        <v>0.2</v>
      </c>
    </row>
    <row r="22" spans="1:4" x14ac:dyDescent="0.25">
      <c r="A22" s="1" t="s">
        <v>228</v>
      </c>
      <c r="B22" s="1" t="s">
        <v>467</v>
      </c>
      <c r="C22" s="5" t="s">
        <v>47</v>
      </c>
      <c r="D22" s="7">
        <f>20/100</f>
        <v>0.2</v>
      </c>
    </row>
    <row r="23" spans="1:4" x14ac:dyDescent="0.25">
      <c r="A23" s="1" t="s">
        <v>230</v>
      </c>
      <c r="B23" s="1" t="s">
        <v>468</v>
      </c>
      <c r="C23" s="5" t="s">
        <v>47</v>
      </c>
      <c r="D23" s="7">
        <f>5/100</f>
        <v>0.05</v>
      </c>
    </row>
    <row r="24" spans="1:4" x14ac:dyDescent="0.25">
      <c r="A24" s="1" t="s">
        <v>232</v>
      </c>
      <c r="B24" s="1" t="s">
        <v>469</v>
      </c>
      <c r="C24" s="5" t="s">
        <v>47</v>
      </c>
      <c r="D24" s="7">
        <f>15/100</f>
        <v>0.15</v>
      </c>
    </row>
    <row r="25" spans="1:4" x14ac:dyDescent="0.25">
      <c r="A25" s="1" t="s">
        <v>234</v>
      </c>
      <c r="B25" s="1" t="s">
        <v>470</v>
      </c>
      <c r="C25" s="5" t="s">
        <v>47</v>
      </c>
      <c r="D25" s="7">
        <f>125/100</f>
        <v>1.25</v>
      </c>
    </row>
    <row r="26" spans="1:4" x14ac:dyDescent="0.25">
      <c r="A26" s="1" t="s">
        <v>471</v>
      </c>
      <c r="B26" s="1" t="s">
        <v>472</v>
      </c>
      <c r="C26" s="5" t="s">
        <v>47</v>
      </c>
      <c r="D26" s="7">
        <f>25/100</f>
        <v>0.25</v>
      </c>
    </row>
    <row r="27" spans="1:4" x14ac:dyDescent="0.25">
      <c r="A27" s="1"/>
      <c r="B27" s="4" t="s">
        <v>473</v>
      </c>
      <c r="C27" s="9">
        <v>0</v>
      </c>
      <c r="D27" s="6">
        <f>SUM(D8:D26)</f>
        <v>20.749999999999996</v>
      </c>
    </row>
    <row r="28" spans="1:4" x14ac:dyDescent="0.25">
      <c r="A28" s="1" t="s">
        <v>125</v>
      </c>
      <c r="B28" s="1" t="s">
        <v>163</v>
      </c>
      <c r="C28" s="1"/>
      <c r="D28" s="1"/>
    </row>
    <row r="29" spans="1:4" x14ac:dyDescent="0.25">
      <c r="A29" s="1" t="s">
        <v>127</v>
      </c>
      <c r="B29" s="1" t="s">
        <v>434</v>
      </c>
      <c r="C29" s="1"/>
      <c r="D29" s="1"/>
    </row>
    <row r="30" spans="1:4" x14ac:dyDescent="0.25">
      <c r="A30" s="1" t="s">
        <v>474</v>
      </c>
      <c r="B30" s="1" t="s">
        <v>435</v>
      </c>
      <c r="C30" s="5">
        <v>0</v>
      </c>
      <c r="D30" s="1"/>
    </row>
    <row r="31" spans="1:4" x14ac:dyDescent="0.25">
      <c r="A31" s="1" t="s">
        <v>475</v>
      </c>
      <c r="B31" s="1" t="s">
        <v>476</v>
      </c>
      <c r="C31" s="5">
        <v>0</v>
      </c>
      <c r="D31" s="1"/>
    </row>
    <row r="32" spans="1:4" x14ac:dyDescent="0.25">
      <c r="A32" s="1" t="s">
        <v>477</v>
      </c>
      <c r="B32" s="1" t="s">
        <v>478</v>
      </c>
      <c r="C32" s="5">
        <v>0</v>
      </c>
      <c r="D32" s="1"/>
    </row>
    <row r="33" spans="1:4" x14ac:dyDescent="0.25">
      <c r="A33" s="1" t="s">
        <v>479</v>
      </c>
      <c r="B33" s="1" t="s">
        <v>480</v>
      </c>
      <c r="C33" s="5">
        <v>0</v>
      </c>
      <c r="D33" s="1"/>
    </row>
    <row r="34" spans="1:4" x14ac:dyDescent="0.25">
      <c r="A34" s="1" t="s">
        <v>481</v>
      </c>
      <c r="B34" s="1" t="s">
        <v>482</v>
      </c>
      <c r="C34" s="5">
        <v>0</v>
      </c>
      <c r="D34" s="1"/>
    </row>
    <row r="35" spans="1:4" x14ac:dyDescent="0.25">
      <c r="A35" s="1" t="s">
        <v>175</v>
      </c>
      <c r="B35" s="4" t="s">
        <v>483</v>
      </c>
      <c r="C35" s="9">
        <v>0</v>
      </c>
      <c r="D35" s="1"/>
    </row>
    <row r="36" spans="1:4" x14ac:dyDescent="0.25">
      <c r="A36" s="1" t="s">
        <v>129</v>
      </c>
      <c r="B36" s="1" t="s">
        <v>178</v>
      </c>
      <c r="C36" s="1"/>
      <c r="D36" s="1"/>
    </row>
    <row r="37" spans="1:4" x14ac:dyDescent="0.25">
      <c r="A37" s="1" t="s">
        <v>484</v>
      </c>
      <c r="B37" s="1" t="s">
        <v>441</v>
      </c>
      <c r="C37" s="7">
        <f>D27</f>
        <v>20.749999999999996</v>
      </c>
      <c r="D37" s="1"/>
    </row>
    <row r="38" spans="1:4" x14ac:dyDescent="0.25">
      <c r="A38" s="1" t="s">
        <v>485</v>
      </c>
      <c r="B38" s="1" t="s">
        <v>486</v>
      </c>
      <c r="C38" s="7">
        <f>375/100</f>
        <v>3.75</v>
      </c>
      <c r="D38" s="1"/>
    </row>
    <row r="39" spans="1:4" x14ac:dyDescent="0.25">
      <c r="A39" s="1" t="s">
        <v>487</v>
      </c>
      <c r="B39" s="1" t="s">
        <v>488</v>
      </c>
      <c r="C39" s="7">
        <f>105/100</f>
        <v>1.05</v>
      </c>
      <c r="D39" s="1"/>
    </row>
    <row r="40" spans="1:4" x14ac:dyDescent="0.25">
      <c r="A40" s="1"/>
      <c r="B40" s="4" t="s">
        <v>489</v>
      </c>
      <c r="C40" s="6">
        <f>C37+C38+C39</f>
        <v>25.549999999999997</v>
      </c>
      <c r="D40" s="5">
        <v>0</v>
      </c>
    </row>
    <row r="41" spans="1:4" x14ac:dyDescent="0.25">
      <c r="A41" s="1"/>
      <c r="B41" s="4" t="s">
        <v>490</v>
      </c>
      <c r="C41" s="6">
        <f>C40</f>
        <v>25.549999999999997</v>
      </c>
      <c r="D41" s="1"/>
    </row>
    <row r="42" spans="1:4" x14ac:dyDescent="0.25">
      <c r="A42" s="1" t="s">
        <v>150</v>
      </c>
      <c r="B42" s="1" t="s">
        <v>491</v>
      </c>
      <c r="C42" s="7">
        <f>130/100</f>
        <v>1.3</v>
      </c>
      <c r="D42" s="1"/>
    </row>
    <row r="43" spans="1:4" x14ac:dyDescent="0.25">
      <c r="A43" s="1" t="s">
        <v>162</v>
      </c>
      <c r="B43" s="1" t="s">
        <v>492</v>
      </c>
      <c r="C43" s="7">
        <f>250/100</f>
        <v>2.5</v>
      </c>
      <c r="D43" s="1"/>
    </row>
    <row r="44" spans="1:4" x14ac:dyDescent="0.25">
      <c r="A44" s="1" t="s">
        <v>187</v>
      </c>
      <c r="B44" s="1" t="s">
        <v>493</v>
      </c>
      <c r="C44" s="7">
        <f>45/100</f>
        <v>0.45</v>
      </c>
      <c r="D44" s="1"/>
    </row>
    <row r="45" spans="1:4" x14ac:dyDescent="0.25">
      <c r="A45" s="1" t="s">
        <v>196</v>
      </c>
      <c r="B45" s="4" t="s">
        <v>494</v>
      </c>
      <c r="C45" s="6">
        <f>C41+C42+C43+C44</f>
        <v>29.799999999999997</v>
      </c>
      <c r="D45" s="1"/>
    </row>
    <row r="46" spans="1:4" x14ac:dyDescent="0.25">
      <c r="A46" s="1" t="s">
        <v>200</v>
      </c>
      <c r="B46" s="4" t="s">
        <v>351</v>
      </c>
      <c r="C46" s="6">
        <f>420/100</f>
        <v>4.2</v>
      </c>
      <c r="D46" s="1"/>
    </row>
    <row r="47" spans="1:4" x14ac:dyDescent="0.25">
      <c r="A47" s="1" t="s">
        <v>198</v>
      </c>
      <c r="B47" s="4" t="s">
        <v>495</v>
      </c>
      <c r="C47" s="6">
        <f>C45-C46</f>
        <v>25.599999999999998</v>
      </c>
      <c r="D47" s="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F81"/>
  <sheetViews>
    <sheetView topLeftCell="A19" zoomScale="85" zoomScaleNormal="85" workbookViewId="0">
      <selection activeCell="C8" sqref="C8"/>
    </sheetView>
  </sheetViews>
  <sheetFormatPr defaultRowHeight="15" x14ac:dyDescent="0.25"/>
  <cols>
    <col min="2" max="2" width="82.85546875" bestFit="1" customWidth="1"/>
    <col min="3" max="3" width="50.42578125" bestFit="1" customWidth="1"/>
    <col min="4" max="4" width="18.85546875" bestFit="1" customWidth="1"/>
    <col min="5" max="5" width="17.42578125" bestFit="1" customWidth="1"/>
  </cols>
  <sheetData>
    <row r="2" spans="2:6" x14ac:dyDescent="0.25">
      <c r="B2" s="292" t="s">
        <v>512</v>
      </c>
      <c r="C2" s="292"/>
      <c r="D2" s="292"/>
      <c r="E2" s="2"/>
    </row>
    <row r="3" spans="2:6" x14ac:dyDescent="0.25">
      <c r="B3" s="3" t="s">
        <v>324</v>
      </c>
      <c r="C3" s="3" t="s">
        <v>497</v>
      </c>
      <c r="D3" s="3" t="s">
        <v>629</v>
      </c>
      <c r="E3" s="3" t="s">
        <v>498</v>
      </c>
    </row>
    <row r="4" spans="2:6" x14ac:dyDescent="0.25">
      <c r="B4" t="s">
        <v>513</v>
      </c>
      <c r="C4" t="s">
        <v>499</v>
      </c>
      <c r="D4" s="10">
        <f>E4/F4</f>
        <v>8.5000000000000006E-2</v>
      </c>
      <c r="E4">
        <v>8.5</v>
      </c>
      <c r="F4">
        <v>100</v>
      </c>
    </row>
    <row r="5" spans="2:6" x14ac:dyDescent="0.25">
      <c r="B5" t="s">
        <v>500</v>
      </c>
      <c r="C5" t="s">
        <v>501</v>
      </c>
      <c r="D5" s="10">
        <f t="shared" ref="D5:D11" si="0">E5/F5</f>
        <v>7.85E-2</v>
      </c>
      <c r="E5">
        <v>7.85</v>
      </c>
      <c r="F5">
        <v>100</v>
      </c>
    </row>
    <row r="6" spans="2:6" x14ac:dyDescent="0.25">
      <c r="B6" t="s">
        <v>502</v>
      </c>
      <c r="C6" t="s">
        <v>501</v>
      </c>
      <c r="D6" s="10">
        <f t="shared" si="0"/>
        <v>1.55</v>
      </c>
      <c r="E6">
        <v>155</v>
      </c>
      <c r="F6">
        <v>100</v>
      </c>
    </row>
    <row r="7" spans="2:6" x14ac:dyDescent="0.25">
      <c r="B7" t="s">
        <v>503</v>
      </c>
      <c r="C7" t="s">
        <v>504</v>
      </c>
      <c r="D7" s="10">
        <f t="shared" si="0"/>
        <v>39.380000000000003</v>
      </c>
      <c r="E7">
        <v>3938</v>
      </c>
      <c r="F7">
        <v>100</v>
      </c>
    </row>
    <row r="8" spans="2:6" x14ac:dyDescent="0.25">
      <c r="B8" t="s">
        <v>503</v>
      </c>
      <c r="C8" t="s">
        <v>505</v>
      </c>
      <c r="D8" s="10">
        <f t="shared" si="0"/>
        <v>28.91</v>
      </c>
      <c r="E8">
        <v>2891</v>
      </c>
      <c r="F8">
        <v>100</v>
      </c>
    </row>
    <row r="9" spans="2:6" x14ac:dyDescent="0.25">
      <c r="B9" t="s">
        <v>506</v>
      </c>
      <c r="C9" t="s">
        <v>507</v>
      </c>
      <c r="D9" s="10">
        <f t="shared" si="0"/>
        <v>1.45</v>
      </c>
      <c r="E9">
        <v>145</v>
      </c>
      <c r="F9">
        <v>100</v>
      </c>
    </row>
    <row r="10" spans="2:6" x14ac:dyDescent="0.25">
      <c r="B10" t="s">
        <v>508</v>
      </c>
      <c r="C10" t="s">
        <v>509</v>
      </c>
      <c r="D10" s="10">
        <f t="shared" si="0"/>
        <v>14.91</v>
      </c>
      <c r="E10">
        <v>1491</v>
      </c>
      <c r="F10">
        <v>100</v>
      </c>
    </row>
    <row r="11" spans="2:6" x14ac:dyDescent="0.25">
      <c r="B11" t="s">
        <v>510</v>
      </c>
      <c r="C11" t="s">
        <v>511</v>
      </c>
      <c r="D11" s="10">
        <f t="shared" si="0"/>
        <v>2.9418000000000002</v>
      </c>
      <c r="E11">
        <v>294.18</v>
      </c>
      <c r="F11">
        <v>100</v>
      </c>
    </row>
    <row r="12" spans="2:6" x14ac:dyDescent="0.25">
      <c r="B12" s="3" t="s">
        <v>628</v>
      </c>
      <c r="C12" s="3"/>
      <c r="D12" s="11">
        <f>SUM(D4:D11)</f>
        <v>89.305300000000003</v>
      </c>
      <c r="E12" s="3">
        <f>SUM(E4:E11)</f>
        <v>8930.5300000000007</v>
      </c>
    </row>
    <row r="14" spans="2:6" x14ac:dyDescent="0.25">
      <c r="B14" s="292" t="s">
        <v>514</v>
      </c>
      <c r="C14" s="292"/>
      <c r="D14" s="292"/>
      <c r="E14" s="2"/>
    </row>
    <row r="15" spans="2:6" x14ac:dyDescent="0.25">
      <c r="B15" s="3" t="s">
        <v>324</v>
      </c>
      <c r="C15" s="3" t="s">
        <v>497</v>
      </c>
      <c r="D15" s="3" t="s">
        <v>629</v>
      </c>
      <c r="E15" s="3" t="s">
        <v>498</v>
      </c>
    </row>
    <row r="16" spans="2:6" x14ac:dyDescent="0.25">
      <c r="B16" t="s">
        <v>506</v>
      </c>
      <c r="C16" t="s">
        <v>515</v>
      </c>
      <c r="D16" s="10">
        <f>E16/F16</f>
        <v>0.74360000000000004</v>
      </c>
      <c r="E16">
        <v>74.36</v>
      </c>
      <c r="F16">
        <v>100</v>
      </c>
    </row>
    <row r="17" spans="2:6" x14ac:dyDescent="0.25">
      <c r="B17" t="s">
        <v>516</v>
      </c>
      <c r="C17" t="s">
        <v>517</v>
      </c>
      <c r="D17" s="10">
        <f t="shared" ref="D17:D80" si="1">E17/F17</f>
        <v>0.23519999999999999</v>
      </c>
      <c r="E17">
        <v>23.52</v>
      </c>
      <c r="F17">
        <v>100</v>
      </c>
    </row>
    <row r="18" spans="2:6" x14ac:dyDescent="0.25">
      <c r="B18" t="s">
        <v>518</v>
      </c>
      <c r="C18" t="s">
        <v>519</v>
      </c>
      <c r="D18" s="10">
        <f t="shared" si="1"/>
        <v>0.42499999999999999</v>
      </c>
      <c r="E18">
        <v>42.5</v>
      </c>
      <c r="F18">
        <v>100</v>
      </c>
    </row>
    <row r="19" spans="2:6" x14ac:dyDescent="0.25">
      <c r="B19" t="s">
        <v>521</v>
      </c>
      <c r="C19" t="s">
        <v>520</v>
      </c>
      <c r="D19" s="10">
        <f t="shared" si="1"/>
        <v>0.61</v>
      </c>
      <c r="E19">
        <v>61</v>
      </c>
      <c r="F19">
        <v>100</v>
      </c>
    </row>
    <row r="20" spans="2:6" x14ac:dyDescent="0.25">
      <c r="B20" t="s">
        <v>522</v>
      </c>
      <c r="C20" t="s">
        <v>523</v>
      </c>
      <c r="D20" s="10">
        <f t="shared" si="1"/>
        <v>0.32150000000000001</v>
      </c>
      <c r="E20">
        <v>32.15</v>
      </c>
      <c r="F20">
        <v>100</v>
      </c>
    </row>
    <row r="21" spans="2:6" x14ac:dyDescent="0.25">
      <c r="B21" t="s">
        <v>524</v>
      </c>
      <c r="C21" t="s">
        <v>525</v>
      </c>
      <c r="D21" s="10">
        <f t="shared" si="1"/>
        <v>1.6890000000000001</v>
      </c>
      <c r="E21">
        <v>168.9</v>
      </c>
      <c r="F21">
        <v>100</v>
      </c>
    </row>
    <row r="22" spans="2:6" x14ac:dyDescent="0.25">
      <c r="B22" t="s">
        <v>526</v>
      </c>
      <c r="C22" t="s">
        <v>527</v>
      </c>
      <c r="D22" s="10">
        <f t="shared" si="1"/>
        <v>0.28749999999999998</v>
      </c>
      <c r="E22">
        <v>28.75</v>
      </c>
      <c r="F22">
        <v>100</v>
      </c>
    </row>
    <row r="23" spans="2:6" x14ac:dyDescent="0.25">
      <c r="B23" t="s">
        <v>528</v>
      </c>
      <c r="C23" t="s">
        <v>529</v>
      </c>
      <c r="D23" s="10">
        <f t="shared" si="1"/>
        <v>0.59989999999999999</v>
      </c>
      <c r="E23">
        <v>59.99</v>
      </c>
      <c r="F23">
        <v>100</v>
      </c>
    </row>
    <row r="24" spans="2:6" x14ac:dyDescent="0.25">
      <c r="B24" t="s">
        <v>530</v>
      </c>
      <c r="C24" t="s">
        <v>531</v>
      </c>
      <c r="D24" s="10">
        <f t="shared" si="1"/>
        <v>23.635000000000002</v>
      </c>
      <c r="E24">
        <v>2363.5</v>
      </c>
      <c r="F24">
        <v>100</v>
      </c>
    </row>
    <row r="25" spans="2:6" x14ac:dyDescent="0.25">
      <c r="B25" t="s">
        <v>532</v>
      </c>
      <c r="C25" t="s">
        <v>533</v>
      </c>
      <c r="D25" s="10">
        <f t="shared" si="1"/>
        <v>99.5</v>
      </c>
      <c r="E25">
        <v>9950</v>
      </c>
      <c r="F25">
        <v>100</v>
      </c>
    </row>
    <row r="26" spans="2:6" x14ac:dyDescent="0.25">
      <c r="B26" t="s">
        <v>534</v>
      </c>
      <c r="C26" t="s">
        <v>535</v>
      </c>
      <c r="D26" s="10">
        <f t="shared" si="1"/>
        <v>21.25</v>
      </c>
      <c r="E26">
        <v>2125</v>
      </c>
      <c r="F26">
        <v>100</v>
      </c>
    </row>
    <row r="27" spans="2:6" x14ac:dyDescent="0.25">
      <c r="B27" t="s">
        <v>536</v>
      </c>
      <c r="C27" t="s">
        <v>531</v>
      </c>
      <c r="D27" s="10">
        <f t="shared" si="1"/>
        <v>0.95750000000000002</v>
      </c>
      <c r="E27">
        <v>95.75</v>
      </c>
      <c r="F27">
        <v>100</v>
      </c>
    </row>
    <row r="28" spans="2:6" x14ac:dyDescent="0.25">
      <c r="B28" t="s">
        <v>537</v>
      </c>
      <c r="C28" t="s">
        <v>538</v>
      </c>
      <c r="D28" s="10">
        <f t="shared" si="1"/>
        <v>0.55700000000000005</v>
      </c>
      <c r="E28">
        <v>55.7</v>
      </c>
      <c r="F28">
        <v>100</v>
      </c>
    </row>
    <row r="29" spans="2:6" x14ac:dyDescent="0.25">
      <c r="B29" t="s">
        <v>539</v>
      </c>
      <c r="C29" t="s">
        <v>540</v>
      </c>
      <c r="D29" s="10">
        <f t="shared" si="1"/>
        <v>4.0697999999999999</v>
      </c>
      <c r="E29">
        <v>406.98</v>
      </c>
      <c r="F29">
        <v>100</v>
      </c>
    </row>
    <row r="30" spans="2:6" x14ac:dyDescent="0.25">
      <c r="B30" t="s">
        <v>541</v>
      </c>
      <c r="C30" t="s">
        <v>542</v>
      </c>
      <c r="D30" s="10">
        <f t="shared" si="1"/>
        <v>97.71</v>
      </c>
      <c r="E30">
        <v>9771</v>
      </c>
      <c r="F30">
        <v>100</v>
      </c>
    </row>
    <row r="31" spans="2:6" x14ac:dyDescent="0.25">
      <c r="B31" t="s">
        <v>543</v>
      </c>
      <c r="C31" t="s">
        <v>542</v>
      </c>
      <c r="D31" s="10">
        <f t="shared" si="1"/>
        <v>20.64</v>
      </c>
      <c r="E31">
        <v>2064</v>
      </c>
      <c r="F31">
        <v>100</v>
      </c>
    </row>
    <row r="32" spans="2:6" x14ac:dyDescent="0.25">
      <c r="B32" t="s">
        <v>544</v>
      </c>
      <c r="C32" t="s">
        <v>545</v>
      </c>
      <c r="D32" s="10">
        <f t="shared" si="1"/>
        <v>53.5</v>
      </c>
      <c r="E32">
        <v>5350</v>
      </c>
      <c r="F32">
        <v>100</v>
      </c>
    </row>
    <row r="33" spans="2:6" x14ac:dyDescent="0.25">
      <c r="B33" t="s">
        <v>546</v>
      </c>
      <c r="C33" t="s">
        <v>545</v>
      </c>
      <c r="D33" s="10">
        <f t="shared" si="1"/>
        <v>1.5</v>
      </c>
      <c r="E33">
        <v>150</v>
      </c>
      <c r="F33">
        <v>100</v>
      </c>
    </row>
    <row r="34" spans="2:6" x14ac:dyDescent="0.25">
      <c r="B34" t="s">
        <v>547</v>
      </c>
      <c r="C34" t="s">
        <v>548</v>
      </c>
      <c r="D34" s="10">
        <f t="shared" si="1"/>
        <v>29.99</v>
      </c>
      <c r="E34">
        <v>2999</v>
      </c>
      <c r="F34">
        <v>100</v>
      </c>
    </row>
    <row r="35" spans="2:6" x14ac:dyDescent="0.25">
      <c r="B35" t="s">
        <v>549</v>
      </c>
      <c r="C35" t="s">
        <v>550</v>
      </c>
      <c r="D35" s="10">
        <f t="shared" si="1"/>
        <v>2.2685</v>
      </c>
      <c r="E35">
        <v>226.85</v>
      </c>
      <c r="F35">
        <v>100</v>
      </c>
    </row>
    <row r="36" spans="2:6" x14ac:dyDescent="0.25">
      <c r="B36" t="s">
        <v>551</v>
      </c>
      <c r="C36" t="s">
        <v>552</v>
      </c>
      <c r="D36" s="10">
        <f t="shared" si="1"/>
        <v>2.75</v>
      </c>
      <c r="E36">
        <v>275</v>
      </c>
      <c r="F36">
        <v>100</v>
      </c>
    </row>
    <row r="37" spans="2:6" x14ac:dyDescent="0.25">
      <c r="B37" t="s">
        <v>553</v>
      </c>
      <c r="C37" t="s">
        <v>554</v>
      </c>
      <c r="D37" s="10">
        <f t="shared" si="1"/>
        <v>12.8294</v>
      </c>
      <c r="E37">
        <v>1282.94</v>
      </c>
      <c r="F37">
        <v>100</v>
      </c>
    </row>
    <row r="38" spans="2:6" x14ac:dyDescent="0.25">
      <c r="B38" t="s">
        <v>555</v>
      </c>
      <c r="C38" t="s">
        <v>556</v>
      </c>
      <c r="D38" s="10">
        <f t="shared" si="1"/>
        <v>6.15</v>
      </c>
      <c r="E38">
        <v>615</v>
      </c>
      <c r="F38">
        <v>100</v>
      </c>
    </row>
    <row r="39" spans="2:6" x14ac:dyDescent="0.25">
      <c r="B39" t="s">
        <v>557</v>
      </c>
      <c r="C39" t="s">
        <v>558</v>
      </c>
      <c r="D39" s="10">
        <f t="shared" si="1"/>
        <v>2.5316000000000001</v>
      </c>
      <c r="E39">
        <v>253.16</v>
      </c>
      <c r="F39">
        <v>100</v>
      </c>
    </row>
    <row r="40" spans="2:6" x14ac:dyDescent="0.25">
      <c r="B40" t="s">
        <v>559</v>
      </c>
      <c r="C40" t="s">
        <v>560</v>
      </c>
      <c r="D40" s="10">
        <f t="shared" si="1"/>
        <v>2.66</v>
      </c>
      <c r="E40">
        <v>266</v>
      </c>
      <c r="F40">
        <v>100</v>
      </c>
    </row>
    <row r="41" spans="2:6" x14ac:dyDescent="0.25">
      <c r="B41" t="s">
        <v>561</v>
      </c>
      <c r="C41" t="s">
        <v>562</v>
      </c>
      <c r="D41" s="10">
        <f t="shared" si="1"/>
        <v>0.89</v>
      </c>
      <c r="E41">
        <v>89</v>
      </c>
      <c r="F41">
        <v>100</v>
      </c>
    </row>
    <row r="42" spans="2:6" x14ac:dyDescent="0.25">
      <c r="B42" t="s">
        <v>563</v>
      </c>
      <c r="C42" t="s">
        <v>564</v>
      </c>
      <c r="D42" s="10">
        <f t="shared" si="1"/>
        <v>28.952800000000003</v>
      </c>
      <c r="E42">
        <v>2895.28</v>
      </c>
      <c r="F42">
        <v>100</v>
      </c>
    </row>
    <row r="43" spans="2:6" x14ac:dyDescent="0.25">
      <c r="B43" t="s">
        <v>565</v>
      </c>
      <c r="C43" t="s">
        <v>566</v>
      </c>
      <c r="D43" s="10">
        <f t="shared" si="1"/>
        <v>143.81</v>
      </c>
      <c r="E43">
        <v>14381</v>
      </c>
      <c r="F43">
        <v>100</v>
      </c>
    </row>
    <row r="44" spans="2:6" x14ac:dyDescent="0.25">
      <c r="B44" t="s">
        <v>567</v>
      </c>
      <c r="C44" t="s">
        <v>504</v>
      </c>
      <c r="D44" s="10">
        <f t="shared" si="1"/>
        <v>73.13</v>
      </c>
      <c r="E44">
        <v>7313</v>
      </c>
      <c r="F44">
        <v>100</v>
      </c>
    </row>
    <row r="45" spans="2:6" x14ac:dyDescent="0.25">
      <c r="B45" t="s">
        <v>567</v>
      </c>
      <c r="C45" t="s">
        <v>505</v>
      </c>
      <c r="D45" s="10">
        <f t="shared" si="1"/>
        <v>25.97</v>
      </c>
      <c r="E45">
        <v>2597</v>
      </c>
      <c r="F45">
        <v>100</v>
      </c>
    </row>
    <row r="46" spans="2:6" x14ac:dyDescent="0.25">
      <c r="B46" t="s">
        <v>568</v>
      </c>
      <c r="C46" t="s">
        <v>509</v>
      </c>
      <c r="D46" s="10">
        <f t="shared" si="1"/>
        <v>21.99</v>
      </c>
      <c r="E46">
        <v>2199</v>
      </c>
      <c r="F46">
        <v>100</v>
      </c>
    </row>
    <row r="47" spans="2:6" x14ac:dyDescent="0.25">
      <c r="B47" t="s">
        <v>569</v>
      </c>
      <c r="C47" t="s">
        <v>570</v>
      </c>
      <c r="D47" s="10">
        <f t="shared" si="1"/>
        <v>0.81400000000000006</v>
      </c>
      <c r="E47">
        <v>81.400000000000006</v>
      </c>
      <c r="F47">
        <v>100</v>
      </c>
    </row>
    <row r="48" spans="2:6" x14ac:dyDescent="0.25">
      <c r="B48" t="s">
        <v>571</v>
      </c>
      <c r="C48" t="s">
        <v>572</v>
      </c>
      <c r="D48" s="10">
        <f t="shared" si="1"/>
        <v>0.435</v>
      </c>
      <c r="E48">
        <v>43.5</v>
      </c>
      <c r="F48">
        <v>100</v>
      </c>
    </row>
    <row r="49" spans="2:6" x14ac:dyDescent="0.25">
      <c r="B49" t="s">
        <v>571</v>
      </c>
      <c r="C49" t="s">
        <v>573</v>
      </c>
      <c r="D49" s="10">
        <f t="shared" si="1"/>
        <v>0.45</v>
      </c>
      <c r="E49">
        <v>45</v>
      </c>
      <c r="F49">
        <v>100</v>
      </c>
    </row>
    <row r="50" spans="2:6" x14ac:dyDescent="0.25">
      <c r="B50" t="s">
        <v>574</v>
      </c>
      <c r="C50" t="s">
        <v>575</v>
      </c>
      <c r="D50" s="10">
        <f t="shared" si="1"/>
        <v>34.549999999999997</v>
      </c>
      <c r="E50">
        <v>3455</v>
      </c>
      <c r="F50">
        <v>100</v>
      </c>
    </row>
    <row r="51" spans="2:6" x14ac:dyDescent="0.25">
      <c r="B51" t="s">
        <v>571</v>
      </c>
      <c r="C51" t="s">
        <v>576</v>
      </c>
      <c r="D51" s="10">
        <f t="shared" si="1"/>
        <v>0.34159999999999996</v>
      </c>
      <c r="E51">
        <v>34.159999999999997</v>
      </c>
      <c r="F51">
        <v>100</v>
      </c>
    </row>
    <row r="52" spans="2:6" x14ac:dyDescent="0.25">
      <c r="B52" t="s">
        <v>577</v>
      </c>
      <c r="C52" t="s">
        <v>578</v>
      </c>
      <c r="D52" s="10">
        <f t="shared" si="1"/>
        <v>0.56520000000000004</v>
      </c>
      <c r="E52">
        <v>56.52</v>
      </c>
      <c r="F52">
        <v>100</v>
      </c>
    </row>
    <row r="53" spans="2:6" x14ac:dyDescent="0.25">
      <c r="B53" t="s">
        <v>579</v>
      </c>
      <c r="C53" t="s">
        <v>580</v>
      </c>
      <c r="D53" s="10">
        <f t="shared" si="1"/>
        <v>4.5939999999999994</v>
      </c>
      <c r="E53">
        <v>459.4</v>
      </c>
      <c r="F53">
        <v>100</v>
      </c>
    </row>
    <row r="54" spans="2:6" x14ac:dyDescent="0.25">
      <c r="B54" t="s">
        <v>581</v>
      </c>
      <c r="C54" t="s">
        <v>582</v>
      </c>
      <c r="D54" s="10">
        <f t="shared" si="1"/>
        <v>97.71</v>
      </c>
      <c r="E54">
        <v>9771</v>
      </c>
      <c r="F54">
        <v>100</v>
      </c>
    </row>
    <row r="55" spans="2:6" x14ac:dyDescent="0.25">
      <c r="B55" t="s">
        <v>583</v>
      </c>
      <c r="C55" t="s">
        <v>584</v>
      </c>
      <c r="D55" s="10">
        <f t="shared" si="1"/>
        <v>1.9709000000000001</v>
      </c>
      <c r="E55">
        <v>197.09</v>
      </c>
      <c r="F55">
        <v>100</v>
      </c>
    </row>
    <row r="56" spans="2:6" x14ac:dyDescent="0.25">
      <c r="B56" t="s">
        <v>585</v>
      </c>
      <c r="C56" t="s">
        <v>586</v>
      </c>
      <c r="D56" s="10">
        <f t="shared" si="1"/>
        <v>15.219900000000001</v>
      </c>
      <c r="E56">
        <v>1521.99</v>
      </c>
      <c r="F56">
        <v>100</v>
      </c>
    </row>
    <row r="57" spans="2:6" x14ac:dyDescent="0.25">
      <c r="B57" t="s">
        <v>506</v>
      </c>
      <c r="C57" t="s">
        <v>587</v>
      </c>
      <c r="D57" s="10">
        <f t="shared" si="1"/>
        <v>0.501</v>
      </c>
      <c r="E57">
        <v>50.1</v>
      </c>
      <c r="F57">
        <v>100</v>
      </c>
    </row>
    <row r="58" spans="2:6" x14ac:dyDescent="0.25">
      <c r="B58" t="s">
        <v>588</v>
      </c>
      <c r="C58" t="s">
        <v>589</v>
      </c>
      <c r="D58" s="10">
        <f t="shared" si="1"/>
        <v>0.17980000000000002</v>
      </c>
      <c r="E58">
        <v>17.98</v>
      </c>
      <c r="F58">
        <v>100</v>
      </c>
    </row>
    <row r="59" spans="2:6" x14ac:dyDescent="0.25">
      <c r="B59" t="s">
        <v>590</v>
      </c>
      <c r="C59" t="s">
        <v>591</v>
      </c>
      <c r="D59" s="10">
        <f t="shared" si="1"/>
        <v>3.15</v>
      </c>
      <c r="E59">
        <v>315</v>
      </c>
      <c r="F59">
        <v>100</v>
      </c>
    </row>
    <row r="60" spans="2:6" x14ac:dyDescent="0.25">
      <c r="B60" t="s">
        <v>592</v>
      </c>
      <c r="C60" t="s">
        <v>593</v>
      </c>
      <c r="D60" s="10">
        <f t="shared" si="1"/>
        <v>0.27</v>
      </c>
      <c r="E60">
        <v>27</v>
      </c>
      <c r="F60">
        <v>100</v>
      </c>
    </row>
    <row r="61" spans="2:6" x14ac:dyDescent="0.25">
      <c r="B61" t="s">
        <v>594</v>
      </c>
      <c r="C61" t="s">
        <v>593</v>
      </c>
      <c r="D61" s="10">
        <f t="shared" si="1"/>
        <v>0.27</v>
      </c>
      <c r="E61">
        <v>27</v>
      </c>
      <c r="F61">
        <v>100</v>
      </c>
    </row>
    <row r="62" spans="2:6" x14ac:dyDescent="0.25">
      <c r="B62" t="s">
        <v>595</v>
      </c>
      <c r="C62" t="s">
        <v>596</v>
      </c>
      <c r="D62" s="10">
        <f t="shared" si="1"/>
        <v>2.64</v>
      </c>
      <c r="E62">
        <v>264</v>
      </c>
      <c r="F62">
        <v>100</v>
      </c>
    </row>
    <row r="63" spans="2:6" x14ac:dyDescent="0.25">
      <c r="B63" t="s">
        <v>597</v>
      </c>
      <c r="C63" t="s">
        <v>598</v>
      </c>
      <c r="D63" s="10">
        <f t="shared" si="1"/>
        <v>0.78620000000000001</v>
      </c>
      <c r="E63">
        <v>78.62</v>
      </c>
      <c r="F63">
        <v>100</v>
      </c>
    </row>
    <row r="64" spans="2:6" x14ac:dyDescent="0.25">
      <c r="B64" t="s">
        <v>599</v>
      </c>
      <c r="C64" t="s">
        <v>600</v>
      </c>
      <c r="D64" s="10">
        <f t="shared" si="1"/>
        <v>1.022</v>
      </c>
      <c r="E64">
        <v>102.2</v>
      </c>
      <c r="F64">
        <v>100</v>
      </c>
    </row>
    <row r="65" spans="2:6" x14ac:dyDescent="0.25">
      <c r="B65" t="s">
        <v>601</v>
      </c>
      <c r="C65" t="s">
        <v>602</v>
      </c>
      <c r="D65" s="10">
        <f t="shared" si="1"/>
        <v>40</v>
      </c>
      <c r="E65">
        <v>4000</v>
      </c>
      <c r="F65">
        <v>100</v>
      </c>
    </row>
    <row r="66" spans="2:6" x14ac:dyDescent="0.25">
      <c r="B66" t="s">
        <v>603</v>
      </c>
      <c r="C66" t="s">
        <v>604</v>
      </c>
      <c r="D66" s="10">
        <f t="shared" si="1"/>
        <v>1.95</v>
      </c>
      <c r="E66">
        <v>195</v>
      </c>
      <c r="F66">
        <v>100</v>
      </c>
    </row>
    <row r="67" spans="2:6" x14ac:dyDescent="0.25">
      <c r="B67" t="s">
        <v>605</v>
      </c>
      <c r="C67" t="s">
        <v>606</v>
      </c>
      <c r="D67" s="10">
        <f t="shared" si="1"/>
        <v>0.42499999999999999</v>
      </c>
      <c r="E67">
        <v>42.5</v>
      </c>
      <c r="F67">
        <v>100</v>
      </c>
    </row>
    <row r="68" spans="2:6" x14ac:dyDescent="0.25">
      <c r="B68" t="s">
        <v>607</v>
      </c>
      <c r="C68" t="s">
        <v>608</v>
      </c>
      <c r="D68" s="10">
        <f t="shared" si="1"/>
        <v>15.25</v>
      </c>
      <c r="E68">
        <v>1525</v>
      </c>
      <c r="F68">
        <v>100</v>
      </c>
    </row>
    <row r="69" spans="2:6" x14ac:dyDescent="0.25">
      <c r="B69" t="s">
        <v>609</v>
      </c>
      <c r="C69" t="s">
        <v>610</v>
      </c>
      <c r="D69" s="10">
        <f t="shared" si="1"/>
        <v>9.23</v>
      </c>
      <c r="E69">
        <v>923</v>
      </c>
      <c r="F69">
        <v>100</v>
      </c>
    </row>
    <row r="70" spans="2:6" x14ac:dyDescent="0.25">
      <c r="B70" t="s">
        <v>611</v>
      </c>
      <c r="C70" t="s">
        <v>509</v>
      </c>
      <c r="D70" s="10">
        <f t="shared" si="1"/>
        <v>8.3102999999999998</v>
      </c>
      <c r="E70">
        <v>831.03</v>
      </c>
      <c r="F70">
        <v>100</v>
      </c>
    </row>
    <row r="71" spans="2:6" x14ac:dyDescent="0.25">
      <c r="B71" t="s">
        <v>611</v>
      </c>
      <c r="C71" t="s">
        <v>612</v>
      </c>
      <c r="D71" s="10">
        <f t="shared" si="1"/>
        <v>5.6485000000000003</v>
      </c>
      <c r="E71">
        <v>564.85</v>
      </c>
      <c r="F71">
        <v>100</v>
      </c>
    </row>
    <row r="72" spans="2:6" x14ac:dyDescent="0.25">
      <c r="B72" t="s">
        <v>611</v>
      </c>
      <c r="C72" t="s">
        <v>613</v>
      </c>
      <c r="D72" s="10">
        <f t="shared" si="1"/>
        <v>2.3169</v>
      </c>
      <c r="E72">
        <v>231.69</v>
      </c>
      <c r="F72">
        <v>100</v>
      </c>
    </row>
    <row r="73" spans="2:6" x14ac:dyDescent="0.25">
      <c r="B73" t="s">
        <v>611</v>
      </c>
      <c r="C73" t="s">
        <v>614</v>
      </c>
      <c r="D73" s="10">
        <f t="shared" si="1"/>
        <v>4.8343999999999996</v>
      </c>
      <c r="E73">
        <v>483.44</v>
      </c>
      <c r="F73">
        <v>100</v>
      </c>
    </row>
    <row r="74" spans="2:6" x14ac:dyDescent="0.25">
      <c r="B74" t="s">
        <v>615</v>
      </c>
      <c r="C74" t="s">
        <v>616</v>
      </c>
      <c r="D74" s="10">
        <f t="shared" si="1"/>
        <v>21</v>
      </c>
      <c r="E74">
        <v>2100</v>
      </c>
      <c r="F74">
        <v>100</v>
      </c>
    </row>
    <row r="75" spans="2:6" x14ac:dyDescent="0.25">
      <c r="B75" t="s">
        <v>617</v>
      </c>
      <c r="C75" t="s">
        <v>618</v>
      </c>
      <c r="D75" s="10">
        <f t="shared" si="1"/>
        <v>12.9</v>
      </c>
      <c r="E75">
        <v>1290</v>
      </c>
      <c r="F75">
        <v>100</v>
      </c>
    </row>
    <row r="76" spans="2:6" x14ac:dyDescent="0.25">
      <c r="B76" t="s">
        <v>619</v>
      </c>
      <c r="C76" t="s">
        <v>620</v>
      </c>
      <c r="D76" s="10">
        <f t="shared" si="1"/>
        <v>3.3749000000000002</v>
      </c>
      <c r="E76">
        <v>337.49</v>
      </c>
      <c r="F76">
        <v>100</v>
      </c>
    </row>
    <row r="77" spans="2:6" x14ac:dyDescent="0.25">
      <c r="B77" t="s">
        <v>621</v>
      </c>
      <c r="C77" t="s">
        <v>622</v>
      </c>
      <c r="D77" s="10">
        <f t="shared" si="1"/>
        <v>0.69879999999999998</v>
      </c>
      <c r="E77">
        <v>69.88</v>
      </c>
      <c r="F77">
        <v>100</v>
      </c>
    </row>
    <row r="78" spans="2:6" x14ac:dyDescent="0.25">
      <c r="B78" t="s">
        <v>623</v>
      </c>
      <c r="C78" t="s">
        <v>622</v>
      </c>
      <c r="D78" s="10">
        <f t="shared" si="1"/>
        <v>0.43</v>
      </c>
      <c r="E78">
        <v>43</v>
      </c>
      <c r="F78">
        <v>100</v>
      </c>
    </row>
    <row r="79" spans="2:6" x14ac:dyDescent="0.25">
      <c r="B79" t="s">
        <v>624</v>
      </c>
      <c r="C79" t="s">
        <v>625</v>
      </c>
      <c r="D79" s="10">
        <f t="shared" si="1"/>
        <v>0.63</v>
      </c>
      <c r="E79">
        <v>63</v>
      </c>
      <c r="F79">
        <v>100</v>
      </c>
    </row>
    <row r="80" spans="2:6" x14ac:dyDescent="0.25">
      <c r="B80" t="s">
        <v>626</v>
      </c>
      <c r="C80" t="s">
        <v>627</v>
      </c>
      <c r="D80" s="10">
        <f t="shared" si="1"/>
        <v>1.9763999999999999</v>
      </c>
      <c r="E80">
        <v>197.64</v>
      </c>
      <c r="F80">
        <v>100</v>
      </c>
    </row>
    <row r="81" spans="2:5" x14ac:dyDescent="0.25">
      <c r="B81" s="3" t="s">
        <v>628</v>
      </c>
      <c r="C81" s="3"/>
      <c r="D81" s="11">
        <f>SUM(D16:D80)</f>
        <v>976.59810000000004</v>
      </c>
      <c r="E81" s="3">
        <f>SUM(E16:E80)</f>
        <v>97659.810000000012</v>
      </c>
    </row>
  </sheetData>
  <mergeCells count="2">
    <mergeCell ref="B2:D2"/>
    <mergeCell ref="B14:D1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C2:D16"/>
  <sheetViews>
    <sheetView topLeftCell="A13" workbookViewId="0">
      <selection activeCell="C8" sqref="C8"/>
    </sheetView>
  </sheetViews>
  <sheetFormatPr defaultRowHeight="15" x14ac:dyDescent="0.25"/>
  <cols>
    <col min="3" max="3" width="19" bestFit="1" customWidth="1"/>
    <col min="4" max="4" width="8.42578125" bestFit="1" customWidth="1"/>
  </cols>
  <sheetData>
    <row r="2" spans="3:4" ht="15.75" thickBot="1" x14ac:dyDescent="0.3"/>
    <row r="3" spans="3:4" ht="29.25" thickBot="1" x14ac:dyDescent="0.3">
      <c r="C3" s="12" t="s">
        <v>327</v>
      </c>
      <c r="D3" s="13">
        <v>497.65</v>
      </c>
    </row>
    <row r="4" spans="3:4" ht="29.25" thickBot="1" x14ac:dyDescent="0.3">
      <c r="C4" s="14" t="s">
        <v>630</v>
      </c>
      <c r="D4" s="15">
        <v>460.68</v>
      </c>
    </row>
    <row r="5" spans="3:4" ht="29.25" thickBot="1" x14ac:dyDescent="0.3">
      <c r="C5" s="14" t="s">
        <v>282</v>
      </c>
      <c r="D5" s="15">
        <v>1496.87</v>
      </c>
    </row>
    <row r="6" spans="3:4" ht="29.25" thickBot="1" x14ac:dyDescent="0.3">
      <c r="C6" s="14" t="s">
        <v>631</v>
      </c>
      <c r="D6" s="15">
        <v>15</v>
      </c>
    </row>
    <row r="7" spans="3:4" ht="43.5" thickBot="1" x14ac:dyDescent="0.3">
      <c r="C7" s="14" t="s">
        <v>632</v>
      </c>
      <c r="D7" s="15">
        <v>8</v>
      </c>
    </row>
    <row r="8" spans="3:4" ht="29.25" thickBot="1" x14ac:dyDescent="0.3">
      <c r="C8" s="14" t="s">
        <v>633</v>
      </c>
      <c r="D8" s="15">
        <v>32.28</v>
      </c>
    </row>
    <row r="9" spans="3:4" ht="43.5" thickBot="1" x14ac:dyDescent="0.3">
      <c r="C9" s="14" t="s">
        <v>634</v>
      </c>
      <c r="D9" s="15">
        <v>247.78</v>
      </c>
    </row>
    <row r="10" spans="3:4" ht="29.25" thickBot="1" x14ac:dyDescent="0.3">
      <c r="C10" s="14" t="s">
        <v>635</v>
      </c>
      <c r="D10" s="15">
        <v>197.1</v>
      </c>
    </row>
    <row r="11" spans="3:4" ht="29.25" thickBot="1" x14ac:dyDescent="0.3">
      <c r="C11" s="14" t="s">
        <v>636</v>
      </c>
      <c r="D11" s="15">
        <v>14.94</v>
      </c>
    </row>
    <row r="12" spans="3:4" ht="30.75" thickBot="1" x14ac:dyDescent="0.3">
      <c r="C12" s="16" t="s">
        <v>637</v>
      </c>
      <c r="D12" s="17">
        <v>2970.3</v>
      </c>
    </row>
    <row r="14" spans="3:4" ht="15.75" thickBot="1" x14ac:dyDescent="0.3"/>
    <row r="15" spans="3:4" ht="46.5" thickTop="1" thickBot="1" x14ac:dyDescent="0.3">
      <c r="C15" s="18" t="s">
        <v>638</v>
      </c>
      <c r="D15" s="19">
        <v>1291.44</v>
      </c>
    </row>
    <row r="16" spans="3:4" ht="16.5" thickTop="1" thickBot="1" x14ac:dyDescent="0.3">
      <c r="C16" s="20" t="s">
        <v>639</v>
      </c>
      <c r="D16" s="21">
        <v>1678.86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B2:F89"/>
  <sheetViews>
    <sheetView topLeftCell="B1" zoomScale="70" zoomScaleNormal="70" workbookViewId="0">
      <selection activeCell="C7" sqref="A7:XFD7"/>
    </sheetView>
  </sheetViews>
  <sheetFormatPr defaultColWidth="8.85546875" defaultRowHeight="14.25" x14ac:dyDescent="0.2"/>
  <cols>
    <col min="1" max="1" width="2" style="22" customWidth="1"/>
    <col min="2" max="2" width="8.85546875" style="74"/>
    <col min="3" max="3" width="51.42578125" style="82" customWidth="1"/>
    <col min="4" max="4" width="96.85546875" style="78" customWidth="1"/>
    <col min="5" max="5" width="96.140625" style="22" customWidth="1"/>
    <col min="6" max="16384" width="8.85546875" style="22"/>
  </cols>
  <sheetData>
    <row r="2" spans="2:6" ht="20.25" customHeight="1" x14ac:dyDescent="0.2">
      <c r="B2" s="267" t="s">
        <v>681</v>
      </c>
      <c r="C2" s="267"/>
      <c r="D2" s="267"/>
    </row>
    <row r="3" spans="2:6" ht="15" x14ac:dyDescent="0.2">
      <c r="B3" s="75"/>
    </row>
    <row r="4" spans="2:6" ht="15.75" x14ac:dyDescent="0.2">
      <c r="B4" s="134" t="s">
        <v>496</v>
      </c>
      <c r="C4" s="135" t="s">
        <v>3</v>
      </c>
      <c r="D4" s="269" t="s">
        <v>326</v>
      </c>
      <c r="E4" s="270"/>
    </row>
    <row r="5" spans="2:6" ht="15.75" x14ac:dyDescent="0.2">
      <c r="B5" s="136">
        <v>1</v>
      </c>
      <c r="C5" s="195" t="s">
        <v>4</v>
      </c>
      <c r="D5" s="196" t="s">
        <v>767</v>
      </c>
      <c r="E5" s="196" t="s">
        <v>768</v>
      </c>
    </row>
    <row r="6" spans="2:6" s="220" customFormat="1" ht="85.5" x14ac:dyDescent="0.2">
      <c r="B6" s="151">
        <v>1.1000000000000001</v>
      </c>
      <c r="C6" s="150" t="s">
        <v>5</v>
      </c>
      <c r="D6" s="221" t="s">
        <v>796</v>
      </c>
      <c r="E6" s="206" t="s">
        <v>797</v>
      </c>
      <c r="F6" s="251">
        <v>0.95</v>
      </c>
    </row>
    <row r="7" spans="2:6" s="220" customFormat="1" ht="30" x14ac:dyDescent="0.2">
      <c r="B7" s="151">
        <v>1.2</v>
      </c>
      <c r="C7" s="150" t="s">
        <v>6</v>
      </c>
      <c r="D7" s="221" t="s">
        <v>856</v>
      </c>
      <c r="E7" s="200"/>
      <c r="F7" s="251">
        <v>0.5</v>
      </c>
    </row>
    <row r="8" spans="2:6" s="132" customFormat="1" ht="99.75" x14ac:dyDescent="0.2">
      <c r="B8" s="151">
        <v>1.3</v>
      </c>
      <c r="C8" s="150" t="s">
        <v>7</v>
      </c>
      <c r="D8" s="205" t="s">
        <v>769</v>
      </c>
      <c r="E8" s="205" t="s">
        <v>800</v>
      </c>
      <c r="F8" s="250">
        <v>0.95</v>
      </c>
    </row>
    <row r="9" spans="2:6" s="132" customFormat="1" ht="19.5" customHeight="1" x14ac:dyDescent="0.2">
      <c r="B9" s="151">
        <v>1.4</v>
      </c>
      <c r="C9" s="150" t="s">
        <v>8</v>
      </c>
      <c r="D9" s="205" t="s">
        <v>770</v>
      </c>
      <c r="E9" s="200" t="s">
        <v>798</v>
      </c>
      <c r="F9" s="250">
        <v>0.95</v>
      </c>
    </row>
    <row r="10" spans="2:6" s="132" customFormat="1" ht="42.75" x14ac:dyDescent="0.2">
      <c r="B10" s="151">
        <v>1.5</v>
      </c>
      <c r="C10" s="150" t="s">
        <v>9</v>
      </c>
      <c r="D10" s="205" t="s">
        <v>799</v>
      </c>
      <c r="E10" s="222" t="s">
        <v>804</v>
      </c>
      <c r="F10" s="250">
        <v>0.95</v>
      </c>
    </row>
    <row r="11" spans="2:6" s="132" customFormat="1" ht="28.5" x14ac:dyDescent="0.2">
      <c r="B11" s="151">
        <v>1.6</v>
      </c>
      <c r="C11" s="150" t="s">
        <v>10</v>
      </c>
      <c r="D11" s="205" t="s">
        <v>801</v>
      </c>
      <c r="E11" s="222" t="s">
        <v>802</v>
      </c>
      <c r="F11" s="250">
        <v>0.9</v>
      </c>
    </row>
    <row r="12" spans="2:6" s="132" customFormat="1" ht="49.5" customHeight="1" x14ac:dyDescent="0.2">
      <c r="B12" s="151">
        <v>1.7</v>
      </c>
      <c r="C12" s="150" t="s">
        <v>11</v>
      </c>
      <c r="D12" s="207" t="s">
        <v>803</v>
      </c>
      <c r="E12" s="223" t="s">
        <v>806</v>
      </c>
      <c r="F12" s="250">
        <v>0.85</v>
      </c>
    </row>
    <row r="13" spans="2:6" s="220" customFormat="1" ht="30" x14ac:dyDescent="0.2">
      <c r="B13" s="224">
        <v>1.8</v>
      </c>
      <c r="C13" s="199" t="s">
        <v>12</v>
      </c>
      <c r="D13" s="225" t="s">
        <v>805</v>
      </c>
      <c r="E13" s="200" t="s">
        <v>807</v>
      </c>
      <c r="F13" s="251">
        <v>0.9</v>
      </c>
    </row>
    <row r="14" spans="2:6" s="132" customFormat="1" ht="114" x14ac:dyDescent="0.2">
      <c r="B14" s="151">
        <v>1.9</v>
      </c>
      <c r="C14" s="150" t="s">
        <v>13</v>
      </c>
      <c r="D14" s="205" t="s">
        <v>771</v>
      </c>
      <c r="E14" s="223" t="s">
        <v>808</v>
      </c>
      <c r="F14" s="250">
        <v>0.9</v>
      </c>
    </row>
    <row r="15" spans="2:6" s="132" customFormat="1" ht="15" x14ac:dyDescent="0.2">
      <c r="B15" s="151">
        <v>1.1000000000000001</v>
      </c>
      <c r="C15" s="150" t="s">
        <v>14</v>
      </c>
      <c r="D15" s="205" t="s">
        <v>693</v>
      </c>
      <c r="E15" s="200" t="s">
        <v>812</v>
      </c>
      <c r="F15" s="250">
        <v>0.9</v>
      </c>
    </row>
    <row r="16" spans="2:6" s="132" customFormat="1" ht="45" customHeight="1" x14ac:dyDescent="0.2">
      <c r="B16" s="151">
        <v>1.1100000000000001</v>
      </c>
      <c r="C16" s="150" t="s">
        <v>674</v>
      </c>
      <c r="D16" s="205" t="s">
        <v>801</v>
      </c>
      <c r="E16" s="222" t="s">
        <v>809</v>
      </c>
      <c r="F16" s="250">
        <v>0.95</v>
      </c>
    </row>
    <row r="17" spans="2:6" s="132" customFormat="1" ht="15" x14ac:dyDescent="0.2">
      <c r="B17" s="151">
        <v>1.1200000000000001</v>
      </c>
      <c r="C17" s="150" t="s">
        <v>15</v>
      </c>
      <c r="D17" s="205" t="s">
        <v>801</v>
      </c>
      <c r="E17" s="205" t="s">
        <v>810</v>
      </c>
      <c r="F17" s="250">
        <v>0.95</v>
      </c>
    </row>
    <row r="18" spans="2:6" s="228" customFormat="1" ht="15.75" x14ac:dyDescent="0.25">
      <c r="B18" s="153"/>
      <c r="C18" s="154" t="s">
        <v>16</v>
      </c>
      <c r="D18" s="226"/>
      <c r="E18" s="227"/>
    </row>
    <row r="19" spans="2:6" s="30" customFormat="1" ht="15.75" x14ac:dyDescent="0.25">
      <c r="B19" s="141"/>
      <c r="C19" s="142"/>
      <c r="D19" s="143"/>
      <c r="E19" s="198"/>
    </row>
    <row r="20" spans="2:6" ht="15.75" x14ac:dyDescent="0.2">
      <c r="B20" s="136">
        <v>2</v>
      </c>
      <c r="C20" s="265" t="s">
        <v>17</v>
      </c>
      <c r="D20" s="266"/>
      <c r="E20" s="197"/>
    </row>
    <row r="21" spans="2:6" ht="30" x14ac:dyDescent="0.2">
      <c r="B21" s="144">
        <v>2.1</v>
      </c>
      <c r="C21" s="199" t="s">
        <v>18</v>
      </c>
      <c r="D21" s="201" t="str">
        <f>PROPER("Fabricated steel column erected at site ")</f>
        <v xml:space="preserve">Fabricated Steel Column Erected At Site </v>
      </c>
      <c r="E21" s="210" t="s">
        <v>813</v>
      </c>
      <c r="F21" s="252">
        <v>0.95</v>
      </c>
    </row>
    <row r="22" spans="2:6" s="245" customFormat="1" ht="30" x14ac:dyDescent="0.2">
      <c r="B22" s="255">
        <v>2.2000000000000002</v>
      </c>
      <c r="C22" s="247" t="s">
        <v>29</v>
      </c>
      <c r="D22" s="256" t="str">
        <f t="shared" ref="D22:D23" si="0">PROPER("Fabricated steel column erected at site and other mechanical work of conveyor are in progress")</f>
        <v>Fabricated Steel Column Erected At Site And Other Mechanical Work Of Conveyor Are In Progress</v>
      </c>
      <c r="E22" s="257" t="s">
        <v>772</v>
      </c>
    </row>
    <row r="23" spans="2:6" ht="30" x14ac:dyDescent="0.2">
      <c r="B23" s="144">
        <v>2.2999999999999998</v>
      </c>
      <c r="C23" s="199" t="s">
        <v>20</v>
      </c>
      <c r="D23" s="201" t="str">
        <f t="shared" si="0"/>
        <v>Fabricated Steel Column Erected At Site And Other Mechanical Work Of Conveyor Are In Progress</v>
      </c>
      <c r="E23" s="210" t="s">
        <v>813</v>
      </c>
    </row>
    <row r="24" spans="2:6" ht="30" x14ac:dyDescent="0.2">
      <c r="B24" s="137">
        <v>2.4</v>
      </c>
      <c r="C24" s="138" t="s">
        <v>21</v>
      </c>
      <c r="D24" s="140" t="s">
        <v>814</v>
      </c>
      <c r="E24" s="197" t="s">
        <v>815</v>
      </c>
    </row>
    <row r="25" spans="2:6" ht="45" x14ac:dyDescent="0.2">
      <c r="B25" s="137">
        <v>2.5</v>
      </c>
      <c r="C25" s="150" t="s">
        <v>22</v>
      </c>
      <c r="D25" s="208" t="s">
        <v>811</v>
      </c>
      <c r="E25" s="223" t="s">
        <v>818</v>
      </c>
    </row>
    <row r="26" spans="2:6" ht="60" x14ac:dyDescent="0.2">
      <c r="B26" s="137">
        <v>2.6</v>
      </c>
      <c r="C26" s="150" t="s">
        <v>23</v>
      </c>
      <c r="D26" s="208" t="s">
        <v>816</v>
      </c>
      <c r="E26" s="223" t="s">
        <v>817</v>
      </c>
    </row>
    <row r="27" spans="2:6" ht="15" x14ac:dyDescent="0.2">
      <c r="B27" s="151">
        <v>2.7</v>
      </c>
      <c r="C27" s="150" t="s">
        <v>24</v>
      </c>
      <c r="D27" s="209" t="s">
        <v>715</v>
      </c>
      <c r="E27" s="200"/>
    </row>
    <row r="28" spans="2:6" ht="28.5" x14ac:dyDescent="0.2">
      <c r="B28" s="151">
        <v>2.8</v>
      </c>
      <c r="C28" s="150" t="s">
        <v>676</v>
      </c>
      <c r="D28" s="209" t="s">
        <v>819</v>
      </c>
      <c r="E28" s="202" t="s">
        <v>820</v>
      </c>
    </row>
    <row r="29" spans="2:6" ht="30" x14ac:dyDescent="0.2">
      <c r="B29" s="151">
        <v>2.9</v>
      </c>
      <c r="C29" s="150" t="s">
        <v>25</v>
      </c>
      <c r="D29" s="208" t="s">
        <v>823</v>
      </c>
      <c r="E29" s="200" t="s">
        <v>824</v>
      </c>
    </row>
    <row r="30" spans="2:6" ht="15" x14ac:dyDescent="0.2">
      <c r="B30" s="137">
        <v>2.1</v>
      </c>
      <c r="C30" s="150" t="s">
        <v>26</v>
      </c>
      <c r="D30" s="208" t="s">
        <v>707</v>
      </c>
      <c r="E30" s="200" t="s">
        <v>774</v>
      </c>
    </row>
    <row r="31" spans="2:6" ht="30" x14ac:dyDescent="0.2">
      <c r="B31" s="137">
        <v>2.11</v>
      </c>
      <c r="C31" s="150" t="s">
        <v>27</v>
      </c>
      <c r="D31" s="208" t="s">
        <v>777</v>
      </c>
      <c r="E31" s="210" t="s">
        <v>776</v>
      </c>
    </row>
    <row r="32" spans="2:6" ht="57" x14ac:dyDescent="0.2">
      <c r="B32" s="137">
        <v>2.12</v>
      </c>
      <c r="C32" s="211" t="s">
        <v>28</v>
      </c>
      <c r="D32" s="212" t="s">
        <v>775</v>
      </c>
      <c r="E32" s="223" t="s">
        <v>822</v>
      </c>
    </row>
    <row r="33" spans="2:6" s="30" customFormat="1" ht="15.75" x14ac:dyDescent="0.25">
      <c r="B33" s="141"/>
      <c r="C33" s="142" t="s">
        <v>30</v>
      </c>
      <c r="D33" s="143"/>
      <c r="E33" s="198"/>
    </row>
    <row r="34" spans="2:6" s="30" customFormat="1" ht="15.75" x14ac:dyDescent="0.25">
      <c r="B34" s="141"/>
      <c r="C34" s="142"/>
      <c r="D34" s="143"/>
      <c r="E34" s="198"/>
    </row>
    <row r="35" spans="2:6" ht="15.75" x14ac:dyDescent="0.2">
      <c r="B35" s="136">
        <v>3</v>
      </c>
      <c r="C35" s="265" t="s">
        <v>31</v>
      </c>
      <c r="D35" s="266"/>
      <c r="E35" s="197"/>
    </row>
    <row r="36" spans="2:6" ht="15" x14ac:dyDescent="0.2">
      <c r="B36" s="151">
        <v>3.1</v>
      </c>
      <c r="C36" s="150" t="s">
        <v>32</v>
      </c>
      <c r="D36" s="121" t="s">
        <v>821</v>
      </c>
      <c r="E36" s="200" t="s">
        <v>825</v>
      </c>
    </row>
    <row r="37" spans="2:6" s="25" customFormat="1" ht="28.5" x14ac:dyDescent="0.2">
      <c r="B37" s="151">
        <v>3.2</v>
      </c>
      <c r="C37" s="150" t="s">
        <v>33</v>
      </c>
      <c r="D37" s="213" t="s">
        <v>713</v>
      </c>
      <c r="E37" s="200" t="s">
        <v>773</v>
      </c>
    </row>
    <row r="38" spans="2:6" ht="24" customHeight="1" x14ac:dyDescent="0.2">
      <c r="B38" s="151">
        <v>3.3</v>
      </c>
      <c r="C38" s="150" t="s">
        <v>34</v>
      </c>
      <c r="D38" s="268" t="s">
        <v>714</v>
      </c>
      <c r="E38" s="200" t="s">
        <v>827</v>
      </c>
      <c r="F38" s="252">
        <v>0.9</v>
      </c>
    </row>
    <row r="39" spans="2:6" ht="27.75" customHeight="1" x14ac:dyDescent="0.2">
      <c r="B39" s="151">
        <v>3.4</v>
      </c>
      <c r="C39" s="150" t="s">
        <v>35</v>
      </c>
      <c r="D39" s="268"/>
      <c r="E39" s="200" t="s">
        <v>828</v>
      </c>
      <c r="F39" s="252">
        <v>0.9</v>
      </c>
    </row>
    <row r="40" spans="2:6" s="245" customFormat="1" ht="15" x14ac:dyDescent="0.2">
      <c r="B40" s="246">
        <v>3.5</v>
      </c>
      <c r="C40" s="247" t="s">
        <v>36</v>
      </c>
      <c r="D40" s="253" t="s">
        <v>697</v>
      </c>
      <c r="E40" s="248"/>
    </row>
    <row r="41" spans="2:6" s="25" customFormat="1" ht="15" x14ac:dyDescent="0.2">
      <c r="B41" s="151">
        <v>3.6</v>
      </c>
      <c r="C41" s="150" t="s">
        <v>37</v>
      </c>
      <c r="D41" s="121" t="s">
        <v>675</v>
      </c>
      <c r="E41" s="121" t="s">
        <v>675</v>
      </c>
    </row>
    <row r="42" spans="2:6" s="25" customFormat="1" ht="30" x14ac:dyDescent="0.2">
      <c r="B42" s="151">
        <v>3.8</v>
      </c>
      <c r="C42" s="150" t="s">
        <v>38</v>
      </c>
      <c r="D42" s="121" t="s">
        <v>784</v>
      </c>
      <c r="E42" s="200"/>
    </row>
    <row r="43" spans="2:6" ht="15" x14ac:dyDescent="0.2">
      <c r="B43" s="151">
        <v>3.9</v>
      </c>
      <c r="C43" s="150" t="s">
        <v>39</v>
      </c>
      <c r="D43" s="213" t="s">
        <v>779</v>
      </c>
      <c r="E43" s="200"/>
    </row>
    <row r="44" spans="2:6" s="25" customFormat="1" ht="42.75" x14ac:dyDescent="0.2">
      <c r="B44" s="152">
        <v>3.1</v>
      </c>
      <c r="C44" s="150" t="s">
        <v>40</v>
      </c>
      <c r="D44" s="121" t="s">
        <v>826</v>
      </c>
      <c r="E44" s="202" t="s">
        <v>834</v>
      </c>
    </row>
    <row r="45" spans="2:6" s="25" customFormat="1" ht="15" x14ac:dyDescent="0.2">
      <c r="B45" s="151">
        <v>3.11</v>
      </c>
      <c r="C45" s="150" t="s">
        <v>41</v>
      </c>
      <c r="D45" s="121" t="s">
        <v>832</v>
      </c>
      <c r="E45" s="200" t="s">
        <v>833</v>
      </c>
    </row>
    <row r="46" spans="2:6" s="25" customFormat="1" ht="15" x14ac:dyDescent="0.2">
      <c r="B46" s="151">
        <v>3.12</v>
      </c>
      <c r="C46" s="150" t="s">
        <v>42</v>
      </c>
      <c r="D46" s="121" t="s">
        <v>778</v>
      </c>
      <c r="E46" s="121" t="s">
        <v>778</v>
      </c>
    </row>
    <row r="47" spans="2:6" ht="15" x14ac:dyDescent="0.2">
      <c r="B47" s="151">
        <v>3.13</v>
      </c>
      <c r="C47" s="150" t="s">
        <v>43</v>
      </c>
      <c r="D47" s="121" t="s">
        <v>778</v>
      </c>
      <c r="E47" s="121"/>
    </row>
    <row r="48" spans="2:6" s="30" customFormat="1" ht="15.75" x14ac:dyDescent="0.25">
      <c r="B48" s="153"/>
      <c r="C48" s="154" t="s">
        <v>44</v>
      </c>
      <c r="D48" s="79"/>
      <c r="E48" s="198"/>
    </row>
    <row r="49" spans="2:5" s="30" customFormat="1" ht="15.75" x14ac:dyDescent="0.25">
      <c r="B49" s="153"/>
      <c r="C49" s="154"/>
      <c r="D49" s="79"/>
      <c r="E49" s="198"/>
    </row>
    <row r="50" spans="2:5" ht="15" x14ac:dyDescent="0.2">
      <c r="B50" s="151">
        <v>4</v>
      </c>
      <c r="C50" s="150" t="s">
        <v>45</v>
      </c>
      <c r="D50" s="121"/>
      <c r="E50" s="200"/>
    </row>
    <row r="51" spans="2:5" ht="15" x14ac:dyDescent="0.2">
      <c r="B51" s="151">
        <v>4.0999999999999996</v>
      </c>
      <c r="C51" s="150" t="s">
        <v>46</v>
      </c>
      <c r="D51" s="213" t="s">
        <v>801</v>
      </c>
      <c r="E51" s="200"/>
    </row>
    <row r="52" spans="2:5" ht="15" x14ac:dyDescent="0.2">
      <c r="B52" s="151">
        <v>4.2</v>
      </c>
      <c r="C52" s="150" t="s">
        <v>48</v>
      </c>
      <c r="D52" s="213" t="s">
        <v>801</v>
      </c>
      <c r="E52" s="200"/>
    </row>
    <row r="53" spans="2:5" s="25" customFormat="1" ht="15" x14ac:dyDescent="0.2">
      <c r="B53" s="151">
        <v>4.3</v>
      </c>
      <c r="C53" s="150" t="s">
        <v>49</v>
      </c>
      <c r="D53" s="213" t="s">
        <v>801</v>
      </c>
      <c r="E53" s="200"/>
    </row>
    <row r="54" spans="2:5" s="25" customFormat="1" ht="15" x14ac:dyDescent="0.2">
      <c r="B54" s="151">
        <v>4.4000000000000004</v>
      </c>
      <c r="C54" s="150" t="s">
        <v>50</v>
      </c>
      <c r="D54" s="213" t="s">
        <v>801</v>
      </c>
      <c r="E54" s="200"/>
    </row>
    <row r="55" spans="2:5" s="25" customFormat="1" ht="15" x14ac:dyDescent="0.2">
      <c r="B55" s="151">
        <v>4.5</v>
      </c>
      <c r="C55" s="150" t="s">
        <v>51</v>
      </c>
      <c r="D55" s="213" t="s">
        <v>801</v>
      </c>
      <c r="E55" s="200"/>
    </row>
    <row r="56" spans="2:5" s="25" customFormat="1" ht="30" x14ac:dyDescent="0.2">
      <c r="B56" s="151">
        <v>4.5999999999999996</v>
      </c>
      <c r="C56" s="150" t="s">
        <v>52</v>
      </c>
      <c r="D56" s="213" t="s">
        <v>801</v>
      </c>
      <c r="E56" s="200"/>
    </row>
    <row r="57" spans="2:5" s="30" customFormat="1" ht="15.75" x14ac:dyDescent="0.25">
      <c r="B57" s="141"/>
      <c r="C57" s="142" t="s">
        <v>53</v>
      </c>
      <c r="D57" s="79"/>
      <c r="E57" s="198"/>
    </row>
    <row r="58" spans="2:5" s="30" customFormat="1" ht="15.75" x14ac:dyDescent="0.25">
      <c r="B58" s="141"/>
      <c r="C58" s="142"/>
      <c r="D58" s="143"/>
      <c r="E58" s="198"/>
    </row>
    <row r="59" spans="2:5" s="30" customFormat="1" ht="15.75" x14ac:dyDescent="0.25">
      <c r="B59" s="136">
        <v>5</v>
      </c>
      <c r="C59" s="265" t="s">
        <v>54</v>
      </c>
      <c r="D59" s="266"/>
      <c r="E59" s="198"/>
    </row>
    <row r="60" spans="2:5" s="249" customFormat="1" ht="30" x14ac:dyDescent="0.2">
      <c r="B60" s="246">
        <v>5.0999999999999996</v>
      </c>
      <c r="C60" s="247" t="s">
        <v>55</v>
      </c>
      <c r="D60" s="254" t="s">
        <v>675</v>
      </c>
      <c r="E60" s="248"/>
    </row>
    <row r="61" spans="2:5" s="220" customFormat="1" ht="15" x14ac:dyDescent="0.2">
      <c r="B61" s="151">
        <v>5.2</v>
      </c>
      <c r="C61" s="150" t="s">
        <v>56</v>
      </c>
      <c r="D61" s="209" t="s">
        <v>829</v>
      </c>
      <c r="E61" s="200" t="s">
        <v>830</v>
      </c>
    </row>
    <row r="62" spans="2:5" s="25" customFormat="1" ht="15" x14ac:dyDescent="0.2">
      <c r="B62" s="137">
        <v>5.3</v>
      </c>
      <c r="C62" s="138" t="s">
        <v>57</v>
      </c>
      <c r="D62" s="139" t="s">
        <v>675</v>
      </c>
      <c r="E62" s="139" t="s">
        <v>675</v>
      </c>
    </row>
    <row r="63" spans="2:5" s="25" customFormat="1" ht="15" x14ac:dyDescent="0.2">
      <c r="B63" s="137">
        <v>5.4</v>
      </c>
      <c r="C63" s="138" t="s">
        <v>645</v>
      </c>
      <c r="D63" s="139" t="s">
        <v>675</v>
      </c>
      <c r="E63" s="139" t="s">
        <v>675</v>
      </c>
    </row>
    <row r="64" spans="2:5" s="30" customFormat="1" ht="15.75" x14ac:dyDescent="0.25">
      <c r="B64" s="141"/>
      <c r="C64" s="142" t="s">
        <v>58</v>
      </c>
      <c r="D64" s="143"/>
      <c r="E64" s="198"/>
    </row>
    <row r="65" spans="2:5" ht="15.75" x14ac:dyDescent="0.2">
      <c r="B65" s="137"/>
      <c r="C65" s="142"/>
      <c r="D65" s="139"/>
      <c r="E65" s="197"/>
    </row>
    <row r="66" spans="2:5" s="30" customFormat="1" ht="15.75" x14ac:dyDescent="0.25">
      <c r="B66" s="136">
        <v>7</v>
      </c>
      <c r="C66" s="265" t="s">
        <v>60</v>
      </c>
      <c r="D66" s="266"/>
      <c r="E66" s="198"/>
    </row>
    <row r="67" spans="2:5" ht="15" x14ac:dyDescent="0.2">
      <c r="B67" s="137">
        <v>7.1</v>
      </c>
      <c r="C67" s="150" t="s">
        <v>61</v>
      </c>
      <c r="D67" s="121" t="s">
        <v>675</v>
      </c>
      <c r="E67" s="121" t="s">
        <v>675</v>
      </c>
    </row>
    <row r="68" spans="2:5" ht="15" x14ac:dyDescent="0.2">
      <c r="B68" s="137">
        <v>7.2</v>
      </c>
      <c r="C68" s="150" t="s">
        <v>62</v>
      </c>
      <c r="D68" s="121" t="s">
        <v>675</v>
      </c>
      <c r="E68" s="121" t="s">
        <v>675</v>
      </c>
    </row>
    <row r="69" spans="2:5" ht="15" x14ac:dyDescent="0.2">
      <c r="B69" s="137">
        <v>7.3</v>
      </c>
      <c r="C69" s="150" t="s">
        <v>63</v>
      </c>
      <c r="D69" s="121" t="s">
        <v>675</v>
      </c>
      <c r="E69" s="121" t="s">
        <v>675</v>
      </c>
    </row>
    <row r="70" spans="2:5" ht="30" x14ac:dyDescent="0.2">
      <c r="B70" s="137">
        <v>7.4</v>
      </c>
      <c r="C70" s="150" t="s">
        <v>64</v>
      </c>
      <c r="D70" s="121" t="s">
        <v>675</v>
      </c>
      <c r="E70" s="121" t="s">
        <v>675</v>
      </c>
    </row>
    <row r="71" spans="2:5" ht="30" x14ac:dyDescent="0.2">
      <c r="B71" s="137">
        <v>7.5</v>
      </c>
      <c r="C71" s="150" t="s">
        <v>65</v>
      </c>
      <c r="D71" s="121" t="s">
        <v>675</v>
      </c>
      <c r="E71" s="121" t="s">
        <v>675</v>
      </c>
    </row>
    <row r="72" spans="2:5" ht="30" x14ac:dyDescent="0.2">
      <c r="B72" s="137">
        <v>7.6</v>
      </c>
      <c r="C72" s="150" t="s">
        <v>66</v>
      </c>
      <c r="D72" s="121" t="s">
        <v>675</v>
      </c>
      <c r="E72" s="121" t="s">
        <v>675</v>
      </c>
    </row>
    <row r="73" spans="2:5" ht="30" x14ac:dyDescent="0.2">
      <c r="B73" s="137">
        <v>7.7</v>
      </c>
      <c r="C73" s="150" t="s">
        <v>67</v>
      </c>
      <c r="D73" s="121" t="s">
        <v>675</v>
      </c>
      <c r="E73" s="121" t="s">
        <v>675</v>
      </c>
    </row>
    <row r="74" spans="2:5" ht="45" customHeight="1" x14ac:dyDescent="0.2">
      <c r="B74" s="137">
        <v>7.8</v>
      </c>
      <c r="C74" s="150" t="s">
        <v>68</v>
      </c>
      <c r="D74" s="213" t="s">
        <v>831</v>
      </c>
      <c r="E74" s="197"/>
    </row>
    <row r="75" spans="2:5" ht="15" x14ac:dyDescent="0.2">
      <c r="B75" s="137">
        <v>7.9</v>
      </c>
      <c r="C75" s="150" t="s">
        <v>69</v>
      </c>
      <c r="D75" s="213" t="s">
        <v>763</v>
      </c>
      <c r="E75" s="213"/>
    </row>
    <row r="76" spans="2:5" ht="15" x14ac:dyDescent="0.2">
      <c r="B76" s="137">
        <v>7.1</v>
      </c>
      <c r="C76" s="150" t="s">
        <v>70</v>
      </c>
      <c r="D76" s="121" t="s">
        <v>675</v>
      </c>
      <c r="E76" s="197"/>
    </row>
    <row r="77" spans="2:5" ht="15" x14ac:dyDescent="0.2">
      <c r="B77" s="137">
        <v>7.11</v>
      </c>
      <c r="C77" s="150" t="s">
        <v>71</v>
      </c>
      <c r="D77" s="121" t="s">
        <v>675</v>
      </c>
      <c r="E77" s="197"/>
    </row>
    <row r="78" spans="2:5" ht="15" x14ac:dyDescent="0.2">
      <c r="B78" s="137">
        <v>7.12</v>
      </c>
      <c r="C78" s="150" t="s">
        <v>72</v>
      </c>
      <c r="D78" s="121" t="s">
        <v>675</v>
      </c>
      <c r="E78" s="197"/>
    </row>
    <row r="79" spans="2:5" ht="15" x14ac:dyDescent="0.2">
      <c r="B79" s="137">
        <v>7.13</v>
      </c>
      <c r="C79" s="150" t="s">
        <v>73</v>
      </c>
      <c r="D79" s="213" t="s">
        <v>764</v>
      </c>
      <c r="E79" s="197"/>
    </row>
    <row r="80" spans="2:5" ht="36.75" customHeight="1" x14ac:dyDescent="0.2">
      <c r="B80" s="137">
        <v>7.14</v>
      </c>
      <c r="C80" s="150" t="s">
        <v>74</v>
      </c>
      <c r="D80" s="213" t="s">
        <v>766</v>
      </c>
      <c r="E80" s="197"/>
    </row>
    <row r="81" spans="2:5" ht="15" x14ac:dyDescent="0.2">
      <c r="B81" s="137">
        <v>7.15</v>
      </c>
      <c r="C81" s="150" t="s">
        <v>765</v>
      </c>
      <c r="D81" s="121" t="s">
        <v>675</v>
      </c>
      <c r="E81" s="197"/>
    </row>
    <row r="82" spans="2:5" ht="114" x14ac:dyDescent="0.2">
      <c r="B82" s="137">
        <v>7.16</v>
      </c>
      <c r="C82" s="150" t="s">
        <v>76</v>
      </c>
      <c r="D82" s="213" t="s">
        <v>835</v>
      </c>
      <c r="E82" s="197"/>
    </row>
    <row r="83" spans="2:5" ht="15.75" customHeight="1" x14ac:dyDescent="0.2">
      <c r="B83" s="137"/>
      <c r="C83" s="142" t="s">
        <v>77</v>
      </c>
      <c r="D83" s="140"/>
    </row>
    <row r="84" spans="2:5" ht="15" x14ac:dyDescent="0.2">
      <c r="B84" s="73"/>
      <c r="C84" s="83"/>
      <c r="D84" s="72"/>
    </row>
    <row r="85" spans="2:5" ht="15" x14ac:dyDescent="0.2">
      <c r="B85" s="73">
        <v>8</v>
      </c>
      <c r="C85" s="83" t="s">
        <v>647</v>
      </c>
      <c r="D85" s="72"/>
    </row>
    <row r="86" spans="2:5" ht="57" x14ac:dyDescent="0.2">
      <c r="B86" s="73">
        <v>9</v>
      </c>
      <c r="C86" s="76" t="s">
        <v>80</v>
      </c>
      <c r="D86" s="72"/>
    </row>
    <row r="87" spans="2:5" ht="42.75" x14ac:dyDescent="0.2">
      <c r="B87" s="73">
        <v>10</v>
      </c>
      <c r="C87" s="76" t="s">
        <v>78</v>
      </c>
      <c r="D87" s="72"/>
    </row>
    <row r="88" spans="2:5" ht="15" x14ac:dyDescent="0.2">
      <c r="B88" s="73">
        <v>11</v>
      </c>
      <c r="C88" s="83" t="s">
        <v>79</v>
      </c>
      <c r="D88" s="72"/>
    </row>
    <row r="89" spans="2:5" ht="15" x14ac:dyDescent="0.2">
      <c r="B89" s="73"/>
      <c r="C89" s="83" t="s">
        <v>646</v>
      </c>
      <c r="D89" s="72"/>
    </row>
  </sheetData>
  <mergeCells count="7">
    <mergeCell ref="C59:D59"/>
    <mergeCell ref="C66:D66"/>
    <mergeCell ref="B2:D2"/>
    <mergeCell ref="D38:D39"/>
    <mergeCell ref="C35:D35"/>
    <mergeCell ref="C20:D20"/>
    <mergeCell ref="D4: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39"/>
  <sheetViews>
    <sheetView topLeftCell="B4" zoomScale="85" zoomScaleNormal="85" workbookViewId="0">
      <selection activeCell="D22" sqref="D22"/>
    </sheetView>
  </sheetViews>
  <sheetFormatPr defaultColWidth="8.85546875" defaultRowHeight="15" x14ac:dyDescent="0.25"/>
  <cols>
    <col min="1" max="1" width="2" style="105" customWidth="1"/>
    <col min="2" max="2" width="8.85546875" style="113"/>
    <col min="3" max="3" width="87" style="104" customWidth="1"/>
    <col min="4" max="4" width="74.42578125" style="104" customWidth="1"/>
    <col min="5" max="16384" width="8.85546875" style="105"/>
  </cols>
  <sheetData>
    <row r="2" spans="2:4" ht="23.25" x14ac:dyDescent="0.25">
      <c r="B2" s="271" t="s">
        <v>682</v>
      </c>
      <c r="C2" s="271"/>
    </row>
    <row r="4" spans="2:4" x14ac:dyDescent="0.25">
      <c r="B4" s="114" t="s">
        <v>496</v>
      </c>
      <c r="C4" s="100" t="s">
        <v>324</v>
      </c>
      <c r="D4" s="100" t="s">
        <v>326</v>
      </c>
    </row>
    <row r="5" spans="2:4" s="81" customFormat="1" x14ac:dyDescent="0.25">
      <c r="B5" s="115">
        <v>1</v>
      </c>
      <c r="C5" s="272" t="s">
        <v>4</v>
      </c>
      <c r="D5" s="273"/>
    </row>
    <row r="6" spans="2:4" s="107" customFormat="1" x14ac:dyDescent="0.25">
      <c r="B6" s="111">
        <v>1.1000000000000001</v>
      </c>
      <c r="C6" s="106" t="s">
        <v>14</v>
      </c>
      <c r="D6" s="106" t="s">
        <v>695</v>
      </c>
    </row>
    <row r="7" spans="2:4" x14ac:dyDescent="0.25">
      <c r="B7" s="112">
        <v>1.2</v>
      </c>
      <c r="C7" s="108" t="s">
        <v>385</v>
      </c>
      <c r="D7" s="108" t="s">
        <v>691</v>
      </c>
    </row>
    <row r="8" spans="2:4" x14ac:dyDescent="0.25">
      <c r="B8" s="112">
        <v>1.3</v>
      </c>
      <c r="C8" s="108" t="s">
        <v>386</v>
      </c>
      <c r="D8" s="108" t="s">
        <v>684</v>
      </c>
    </row>
    <row r="9" spans="2:4" s="81" customFormat="1" hidden="1" x14ac:dyDescent="0.25">
      <c r="B9" s="110"/>
      <c r="C9" s="56" t="s">
        <v>16</v>
      </c>
      <c r="D9" s="56"/>
    </row>
    <row r="10" spans="2:4" s="81" customFormat="1" x14ac:dyDescent="0.25">
      <c r="B10" s="115">
        <v>2</v>
      </c>
      <c r="C10" s="274" t="s">
        <v>17</v>
      </c>
      <c r="D10" s="275"/>
    </row>
    <row r="11" spans="2:4" x14ac:dyDescent="0.25">
      <c r="B11" s="112">
        <v>2.1</v>
      </c>
      <c r="C11" s="108" t="s">
        <v>387</v>
      </c>
      <c r="D11" s="108" t="s">
        <v>685</v>
      </c>
    </row>
    <row r="12" spans="2:4" ht="30" x14ac:dyDescent="0.25">
      <c r="B12" s="112">
        <v>2.2000000000000002</v>
      </c>
      <c r="C12" s="108" t="s">
        <v>388</v>
      </c>
      <c r="D12" s="108" t="s">
        <v>692</v>
      </c>
    </row>
    <row r="13" spans="2:4" s="107" customFormat="1" x14ac:dyDescent="0.25">
      <c r="B13" s="111">
        <v>2.2999999999999998</v>
      </c>
      <c r="C13" s="106" t="s">
        <v>389</v>
      </c>
      <c r="D13" s="106" t="s">
        <v>694</v>
      </c>
    </row>
    <row r="14" spans="2:4" x14ac:dyDescent="0.25">
      <c r="B14" s="112">
        <v>2.4</v>
      </c>
      <c r="C14" s="108" t="s">
        <v>390</v>
      </c>
      <c r="D14" s="108" t="s">
        <v>677</v>
      </c>
    </row>
    <row r="15" spans="2:4" x14ac:dyDescent="0.25">
      <c r="B15" s="112">
        <v>2.5</v>
      </c>
      <c r="C15" s="108" t="s">
        <v>391</v>
      </c>
      <c r="D15" s="108" t="s">
        <v>683</v>
      </c>
    </row>
    <row r="16" spans="2:4" s="107" customFormat="1" x14ac:dyDescent="0.25">
      <c r="B16" s="111">
        <v>2.6</v>
      </c>
      <c r="C16" s="106" t="s">
        <v>392</v>
      </c>
      <c r="D16" s="106" t="s">
        <v>47</v>
      </c>
    </row>
    <row r="17" spans="2:4" s="81" customFormat="1" x14ac:dyDescent="0.25">
      <c r="B17" s="115">
        <v>3</v>
      </c>
      <c r="C17" s="274" t="s">
        <v>31</v>
      </c>
      <c r="D17" s="275"/>
    </row>
    <row r="18" spans="2:4" s="107" customFormat="1" x14ac:dyDescent="0.25">
      <c r="B18" s="111">
        <v>3.1</v>
      </c>
      <c r="C18" s="106" t="s">
        <v>393</v>
      </c>
      <c r="D18" s="106" t="s">
        <v>679</v>
      </c>
    </row>
    <row r="19" spans="2:4" x14ac:dyDescent="0.25">
      <c r="B19" s="112">
        <v>3.2</v>
      </c>
      <c r="C19" s="108" t="s">
        <v>394</v>
      </c>
      <c r="D19" s="108" t="s">
        <v>686</v>
      </c>
    </row>
    <row r="20" spans="2:4" x14ac:dyDescent="0.25">
      <c r="B20" s="112">
        <v>3.3</v>
      </c>
      <c r="C20" s="108" t="s">
        <v>395</v>
      </c>
      <c r="D20" s="118" t="s">
        <v>696</v>
      </c>
    </row>
    <row r="21" spans="2:4" s="107" customFormat="1" x14ac:dyDescent="0.25">
      <c r="B21" s="111">
        <v>3.5</v>
      </c>
      <c r="C21" s="106" t="s">
        <v>396</v>
      </c>
      <c r="D21" s="117" t="s">
        <v>687</v>
      </c>
    </row>
    <row r="22" spans="2:4" s="107" customFormat="1" x14ac:dyDescent="0.25">
      <c r="B22" s="111">
        <v>3.6</v>
      </c>
      <c r="C22" s="106" t="s">
        <v>397</v>
      </c>
      <c r="D22" s="117" t="s">
        <v>688</v>
      </c>
    </row>
    <row r="23" spans="2:4" s="107" customFormat="1" x14ac:dyDescent="0.25">
      <c r="B23" s="111">
        <v>3.7</v>
      </c>
      <c r="C23" s="106" t="s">
        <v>398</v>
      </c>
      <c r="D23" s="106" t="s">
        <v>678</v>
      </c>
    </row>
    <row r="24" spans="2:4" ht="30" x14ac:dyDescent="0.25">
      <c r="B24" s="112">
        <v>3.8</v>
      </c>
      <c r="C24" s="108" t="s">
        <v>399</v>
      </c>
      <c r="D24" s="108" t="s">
        <v>689</v>
      </c>
    </row>
    <row r="25" spans="2:4" s="107" customFormat="1" x14ac:dyDescent="0.25">
      <c r="B25" s="111">
        <v>3.9</v>
      </c>
      <c r="C25" s="106" t="s">
        <v>400</v>
      </c>
      <c r="D25" s="108" t="s">
        <v>698</v>
      </c>
    </row>
    <row r="26" spans="2:4" s="107" customFormat="1" x14ac:dyDescent="0.25">
      <c r="B26" s="111">
        <v>3.1</v>
      </c>
      <c r="C26" s="106" t="s">
        <v>401</v>
      </c>
      <c r="D26" s="117" t="s">
        <v>690</v>
      </c>
    </row>
    <row r="27" spans="2:4" x14ac:dyDescent="0.25">
      <c r="B27" s="112">
        <v>3.11</v>
      </c>
      <c r="C27" s="108" t="s">
        <v>402</v>
      </c>
      <c r="D27" s="117" t="s">
        <v>690</v>
      </c>
    </row>
    <row r="28" spans="2:4" s="81" customFormat="1" x14ac:dyDescent="0.25">
      <c r="B28" s="115">
        <v>4</v>
      </c>
      <c r="C28" s="274" t="s">
        <v>403</v>
      </c>
      <c r="D28" s="275"/>
    </row>
    <row r="29" spans="2:4" s="107" customFormat="1" x14ac:dyDescent="0.25">
      <c r="B29" s="111">
        <v>4.0999999999999996</v>
      </c>
      <c r="C29" s="106" t="s">
        <v>404</v>
      </c>
      <c r="D29" s="106" t="s">
        <v>679</v>
      </c>
    </row>
    <row r="30" spans="2:4" s="107" customFormat="1" x14ac:dyDescent="0.25">
      <c r="B30" s="111">
        <v>4.2</v>
      </c>
      <c r="C30" s="106" t="s">
        <v>405</v>
      </c>
      <c r="D30" s="106" t="s">
        <v>679</v>
      </c>
    </row>
    <row r="31" spans="2:4" s="107" customFormat="1" x14ac:dyDescent="0.25">
      <c r="B31" s="111">
        <v>4.3</v>
      </c>
      <c r="C31" s="106" t="s">
        <v>406</v>
      </c>
      <c r="D31" s="106" t="s">
        <v>679</v>
      </c>
    </row>
    <row r="32" spans="2:4" s="107" customFormat="1" x14ac:dyDescent="0.25">
      <c r="B32" s="111">
        <v>4.4000000000000004</v>
      </c>
      <c r="C32" s="106" t="s">
        <v>50</v>
      </c>
      <c r="D32" s="106" t="s">
        <v>679</v>
      </c>
    </row>
    <row r="33" spans="2:4" s="107" customFormat="1" x14ac:dyDescent="0.25">
      <c r="B33" s="111">
        <v>4.5</v>
      </c>
      <c r="C33" s="106" t="s">
        <v>52</v>
      </c>
      <c r="D33" s="106" t="s">
        <v>679</v>
      </c>
    </row>
    <row r="34" spans="2:4" s="81" customFormat="1" hidden="1" x14ac:dyDescent="0.25">
      <c r="B34" s="110"/>
      <c r="C34" s="56" t="s">
        <v>53</v>
      </c>
      <c r="D34" s="109"/>
    </row>
    <row r="35" spans="2:4" hidden="1" x14ac:dyDescent="0.25">
      <c r="B35" s="112">
        <v>7</v>
      </c>
      <c r="C35" s="56" t="s">
        <v>407</v>
      </c>
    </row>
    <row r="36" spans="2:4" ht="30" hidden="1" x14ac:dyDescent="0.25">
      <c r="B36" s="112">
        <v>8</v>
      </c>
      <c r="C36" s="108" t="s">
        <v>408</v>
      </c>
    </row>
    <row r="37" spans="2:4" ht="30" hidden="1" x14ac:dyDescent="0.25">
      <c r="B37" s="112">
        <v>9</v>
      </c>
      <c r="C37" s="108" t="s">
        <v>78</v>
      </c>
    </row>
    <row r="38" spans="2:4" hidden="1" x14ac:dyDescent="0.25">
      <c r="B38" s="112">
        <v>10</v>
      </c>
      <c r="C38" s="56" t="s">
        <v>79</v>
      </c>
    </row>
    <row r="39" spans="2:4" s="81" customFormat="1" hidden="1" x14ac:dyDescent="0.25">
      <c r="B39" s="110"/>
      <c r="C39" s="56"/>
      <c r="D39" s="109"/>
    </row>
  </sheetData>
  <mergeCells count="5">
    <mergeCell ref="B2:C2"/>
    <mergeCell ref="C5:D5"/>
    <mergeCell ref="C28:D28"/>
    <mergeCell ref="C17:D17"/>
    <mergeCell ref="C10:D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56"/>
  <sheetViews>
    <sheetView workbookViewId="0">
      <selection activeCell="C6" sqref="C6"/>
    </sheetView>
  </sheetViews>
  <sheetFormatPr defaultRowHeight="15" x14ac:dyDescent="0.25"/>
  <cols>
    <col min="3" max="3" width="56.85546875" customWidth="1"/>
    <col min="4" max="4" width="13.7109375" bestFit="1" customWidth="1"/>
  </cols>
  <sheetData>
    <row r="1" spans="2:4" x14ac:dyDescent="0.25">
      <c r="C1" t="s">
        <v>175</v>
      </c>
    </row>
    <row r="2" spans="2:4" x14ac:dyDescent="0.25">
      <c r="B2" s="2" t="s">
        <v>255</v>
      </c>
    </row>
    <row r="3" spans="2:4" x14ac:dyDescent="0.25">
      <c r="B3" s="3" t="s">
        <v>1</v>
      </c>
    </row>
    <row r="4" spans="2:4" x14ac:dyDescent="0.25">
      <c r="B4" s="9" t="s">
        <v>2</v>
      </c>
      <c r="C4" s="9" t="s">
        <v>3</v>
      </c>
      <c r="D4" s="9" t="s">
        <v>256</v>
      </c>
    </row>
    <row r="5" spans="2:4" x14ac:dyDescent="0.25">
      <c r="B5" s="1" t="s">
        <v>84</v>
      </c>
      <c r="C5" s="1" t="s">
        <v>257</v>
      </c>
      <c r="D5" s="1"/>
    </row>
    <row r="6" spans="2:4" x14ac:dyDescent="0.25">
      <c r="B6" s="1" t="s">
        <v>86</v>
      </c>
      <c r="C6" s="1" t="s">
        <v>258</v>
      </c>
      <c r="D6" s="7">
        <v>42420</v>
      </c>
    </row>
    <row r="7" spans="2:4" x14ac:dyDescent="0.25">
      <c r="B7" s="1" t="s">
        <v>94</v>
      </c>
      <c r="C7" s="1" t="s">
        <v>259</v>
      </c>
      <c r="D7" s="7"/>
    </row>
    <row r="8" spans="2:4" x14ac:dyDescent="0.25">
      <c r="B8" s="1" t="s">
        <v>102</v>
      </c>
      <c r="C8" s="1" t="s">
        <v>260</v>
      </c>
      <c r="D8" s="7"/>
    </row>
    <row r="9" spans="2:4" x14ac:dyDescent="0.25">
      <c r="B9" s="1" t="s">
        <v>110</v>
      </c>
      <c r="C9" s="1" t="s">
        <v>261</v>
      </c>
      <c r="D9" s="7"/>
    </row>
    <row r="10" spans="2:4" x14ac:dyDescent="0.25">
      <c r="B10" s="1" t="s">
        <v>209</v>
      </c>
      <c r="C10" s="1" t="s">
        <v>262</v>
      </c>
      <c r="D10" s="7">
        <v>124</v>
      </c>
    </row>
    <row r="11" spans="2:4" x14ac:dyDescent="0.25">
      <c r="B11" s="1" t="s">
        <v>211</v>
      </c>
      <c r="C11" s="1" t="s">
        <v>319</v>
      </c>
      <c r="D11" s="7">
        <v>150</v>
      </c>
    </row>
    <row r="12" spans="2:4" x14ac:dyDescent="0.25">
      <c r="B12" s="1" t="s">
        <v>213</v>
      </c>
      <c r="C12" s="1" t="s">
        <v>263</v>
      </c>
      <c r="D12" s="7">
        <v>60</v>
      </c>
    </row>
    <row r="13" spans="2:4" x14ac:dyDescent="0.25">
      <c r="B13" s="1" t="s">
        <v>215</v>
      </c>
      <c r="C13" s="1" t="s">
        <v>265</v>
      </c>
      <c r="D13" s="7">
        <v>733</v>
      </c>
    </row>
    <row r="14" spans="2:4" x14ac:dyDescent="0.25">
      <c r="B14" s="1" t="s">
        <v>217</v>
      </c>
      <c r="C14" s="1" t="s">
        <v>266</v>
      </c>
      <c r="D14" s="7">
        <v>30</v>
      </c>
    </row>
    <row r="15" spans="2:4" x14ac:dyDescent="0.25">
      <c r="B15" s="1" t="s">
        <v>219</v>
      </c>
      <c r="C15" s="1" t="s">
        <v>267</v>
      </c>
      <c r="D15" s="7">
        <v>627</v>
      </c>
    </row>
    <row r="16" spans="2:4" x14ac:dyDescent="0.25">
      <c r="B16" s="1" t="s">
        <v>268</v>
      </c>
      <c r="C16" s="1" t="s">
        <v>269</v>
      </c>
      <c r="D16" s="7">
        <v>1341</v>
      </c>
    </row>
    <row r="17" spans="2:4" x14ac:dyDescent="0.25">
      <c r="B17" s="1" t="s">
        <v>222</v>
      </c>
      <c r="C17" s="1" t="s">
        <v>270</v>
      </c>
      <c r="D17" s="7">
        <v>1109</v>
      </c>
    </row>
    <row r="18" spans="2:4" x14ac:dyDescent="0.25">
      <c r="B18" s="1">
        <v>1.1299999999999999</v>
      </c>
      <c r="C18" s="1" t="s">
        <v>271</v>
      </c>
      <c r="D18" s="7">
        <v>861</v>
      </c>
    </row>
    <row r="19" spans="2:4" x14ac:dyDescent="0.25">
      <c r="B19" s="1">
        <v>1.1399999999999999</v>
      </c>
      <c r="C19" s="1" t="s">
        <v>59</v>
      </c>
      <c r="D19" s="7">
        <v>40</v>
      </c>
    </row>
    <row r="20" spans="2:4" x14ac:dyDescent="0.25">
      <c r="B20" s="1"/>
      <c r="C20" s="4" t="s">
        <v>272</v>
      </c>
      <c r="D20" s="6">
        <v>47495</v>
      </c>
    </row>
    <row r="21" spans="2:4" x14ac:dyDescent="0.25">
      <c r="B21" s="1" t="s">
        <v>125</v>
      </c>
      <c r="C21" s="1" t="s">
        <v>273</v>
      </c>
      <c r="D21" s="7"/>
    </row>
    <row r="22" spans="2:4" x14ac:dyDescent="0.25">
      <c r="B22" s="1">
        <v>2.1</v>
      </c>
      <c r="C22" s="1" t="s">
        <v>274</v>
      </c>
      <c r="D22" s="7">
        <v>8565</v>
      </c>
    </row>
    <row r="23" spans="2:4" x14ac:dyDescent="0.25">
      <c r="B23" s="1">
        <v>2.2000000000000002</v>
      </c>
      <c r="C23" s="1" t="s">
        <v>275</v>
      </c>
      <c r="D23" s="7">
        <v>6945</v>
      </c>
    </row>
    <row r="24" spans="2:4" x14ac:dyDescent="0.25">
      <c r="B24" s="1">
        <v>2.2999999999999998</v>
      </c>
      <c r="C24" s="1" t="s">
        <v>276</v>
      </c>
      <c r="D24" s="7">
        <v>2864</v>
      </c>
    </row>
    <row r="25" spans="2:4" x14ac:dyDescent="0.25">
      <c r="B25" s="1">
        <v>2.4</v>
      </c>
      <c r="C25" s="1" t="s">
        <v>277</v>
      </c>
      <c r="D25" s="7">
        <v>752</v>
      </c>
    </row>
    <row r="26" spans="2:4" x14ac:dyDescent="0.25">
      <c r="B26" s="1">
        <v>2.5</v>
      </c>
      <c r="C26" s="1" t="s">
        <v>278</v>
      </c>
      <c r="D26" s="7">
        <v>6405</v>
      </c>
    </row>
    <row r="27" spans="2:4" x14ac:dyDescent="0.25">
      <c r="B27" s="1">
        <v>2.6</v>
      </c>
      <c r="C27" s="1" t="s">
        <v>279</v>
      </c>
      <c r="D27" s="7">
        <v>2985</v>
      </c>
    </row>
    <row r="28" spans="2:4" x14ac:dyDescent="0.25">
      <c r="B28" s="1">
        <v>2.7</v>
      </c>
      <c r="C28" s="1" t="s">
        <v>280</v>
      </c>
      <c r="D28" s="7">
        <v>3340</v>
      </c>
    </row>
    <row r="29" spans="2:4" x14ac:dyDescent="0.25">
      <c r="B29" s="1">
        <v>2.8</v>
      </c>
      <c r="C29" s="1" t="s">
        <v>281</v>
      </c>
      <c r="D29" s="7">
        <v>6007</v>
      </c>
    </row>
    <row r="30" spans="2:4" x14ac:dyDescent="0.25">
      <c r="B30" s="1"/>
      <c r="C30" s="4" t="s">
        <v>272</v>
      </c>
      <c r="D30" s="6">
        <v>37863</v>
      </c>
    </row>
    <row r="31" spans="2:4" x14ac:dyDescent="0.25">
      <c r="B31" s="1" t="s">
        <v>150</v>
      </c>
      <c r="C31" s="1" t="s">
        <v>282</v>
      </c>
      <c r="D31" s="7"/>
    </row>
    <row r="32" spans="2:4" x14ac:dyDescent="0.25">
      <c r="B32" s="1" t="s">
        <v>152</v>
      </c>
      <c r="C32" s="1" t="s">
        <v>195</v>
      </c>
      <c r="D32" s="7">
        <v>89510.877850000019</v>
      </c>
    </row>
    <row r="33" spans="2:4" x14ac:dyDescent="0.25">
      <c r="B33" s="1" t="s">
        <v>154</v>
      </c>
      <c r="C33" s="1" t="s">
        <v>283</v>
      </c>
      <c r="D33" s="7">
        <v>14862.828</v>
      </c>
    </row>
    <row r="34" spans="2:4" x14ac:dyDescent="0.25">
      <c r="B34" s="1" t="s">
        <v>156</v>
      </c>
      <c r="C34" s="1" t="s">
        <v>284</v>
      </c>
      <c r="D34" s="7">
        <v>20000</v>
      </c>
    </row>
    <row r="35" spans="2:4" x14ac:dyDescent="0.25">
      <c r="B35" s="1" t="s">
        <v>285</v>
      </c>
      <c r="C35" s="1" t="s">
        <v>286</v>
      </c>
      <c r="D35" s="7">
        <v>4150</v>
      </c>
    </row>
    <row r="36" spans="2:4" x14ac:dyDescent="0.25">
      <c r="B36" s="1"/>
      <c r="C36" s="4" t="s">
        <v>287</v>
      </c>
      <c r="D36" s="6">
        <v>128523.70585000001</v>
      </c>
    </row>
    <row r="37" spans="2:4" x14ac:dyDescent="0.25">
      <c r="B37" s="1" t="s">
        <v>162</v>
      </c>
      <c r="C37" s="1" t="s">
        <v>288</v>
      </c>
      <c r="D37" s="7">
        <v>1100</v>
      </c>
    </row>
    <row r="38" spans="2:4" x14ac:dyDescent="0.25">
      <c r="B38" s="1" t="s">
        <v>164</v>
      </c>
      <c r="C38" s="1" t="s">
        <v>289</v>
      </c>
      <c r="D38" s="7">
        <v>750</v>
      </c>
    </row>
    <row r="39" spans="2:4" x14ac:dyDescent="0.25">
      <c r="B39" s="1"/>
      <c r="C39" s="4" t="s">
        <v>287</v>
      </c>
      <c r="D39" s="6">
        <v>1850</v>
      </c>
    </row>
    <row r="40" spans="2:4" x14ac:dyDescent="0.25">
      <c r="B40" s="1" t="s">
        <v>187</v>
      </c>
      <c r="C40" s="1" t="s">
        <v>290</v>
      </c>
      <c r="D40" s="7"/>
    </row>
    <row r="41" spans="2:4" x14ac:dyDescent="0.25">
      <c r="B41" s="1" t="s">
        <v>291</v>
      </c>
      <c r="C41" s="1" t="s">
        <v>292</v>
      </c>
      <c r="D41" s="7">
        <v>200</v>
      </c>
    </row>
    <row r="42" spans="2:4" x14ac:dyDescent="0.25">
      <c r="B42" s="1" t="s">
        <v>293</v>
      </c>
      <c r="C42" s="1" t="s">
        <v>294</v>
      </c>
      <c r="D42" s="7">
        <v>150</v>
      </c>
    </row>
    <row r="43" spans="2:4" x14ac:dyDescent="0.25">
      <c r="B43" s="1" t="s">
        <v>295</v>
      </c>
      <c r="C43" s="1" t="s">
        <v>296</v>
      </c>
      <c r="D43" s="7">
        <v>200</v>
      </c>
    </row>
    <row r="44" spans="2:4" x14ac:dyDescent="0.25">
      <c r="B44" s="1" t="s">
        <v>297</v>
      </c>
      <c r="C44" s="1" t="s">
        <v>298</v>
      </c>
      <c r="D44" s="7">
        <v>150</v>
      </c>
    </row>
    <row r="45" spans="2:4" x14ac:dyDescent="0.25">
      <c r="B45" s="1" t="s">
        <v>299</v>
      </c>
      <c r="C45" s="1" t="s">
        <v>300</v>
      </c>
      <c r="D45" s="8" t="s">
        <v>47</v>
      </c>
    </row>
    <row r="46" spans="2:4" x14ac:dyDescent="0.25">
      <c r="B46" s="1" t="s">
        <v>301</v>
      </c>
      <c r="C46" s="1" t="s">
        <v>302</v>
      </c>
      <c r="D46" s="8" t="s">
        <v>47</v>
      </c>
    </row>
    <row r="47" spans="2:4" x14ac:dyDescent="0.25">
      <c r="B47" s="1" t="s">
        <v>303</v>
      </c>
      <c r="C47" s="1" t="s">
        <v>304</v>
      </c>
      <c r="D47" s="7">
        <v>300</v>
      </c>
    </row>
    <row r="48" spans="2:4" x14ac:dyDescent="0.25">
      <c r="B48" s="1" t="s">
        <v>305</v>
      </c>
      <c r="C48" s="1" t="s">
        <v>306</v>
      </c>
      <c r="D48" s="7">
        <v>60</v>
      </c>
    </row>
    <row r="49" spans="2:4" x14ac:dyDescent="0.25">
      <c r="B49" s="1" t="s">
        <v>307</v>
      </c>
      <c r="C49" s="1" t="s">
        <v>308</v>
      </c>
      <c r="D49" s="7">
        <v>210</v>
      </c>
    </row>
    <row r="50" spans="2:4" x14ac:dyDescent="0.25">
      <c r="B50" s="1" t="s">
        <v>309</v>
      </c>
      <c r="C50" s="1" t="s">
        <v>310</v>
      </c>
      <c r="D50" s="7">
        <v>150</v>
      </c>
    </row>
    <row r="51" spans="2:4" x14ac:dyDescent="0.25">
      <c r="B51" s="1" t="s">
        <v>311</v>
      </c>
      <c r="C51" s="1" t="s">
        <v>312</v>
      </c>
      <c r="D51" s="7">
        <v>400</v>
      </c>
    </row>
    <row r="52" spans="2:4" x14ac:dyDescent="0.25">
      <c r="B52" s="1" t="s">
        <v>313</v>
      </c>
      <c r="C52" s="1" t="s">
        <v>314</v>
      </c>
      <c r="D52" s="7">
        <v>173</v>
      </c>
    </row>
    <row r="53" spans="2:4" x14ac:dyDescent="0.25">
      <c r="B53" s="1">
        <v>5.15</v>
      </c>
      <c r="C53" s="1" t="s">
        <v>315</v>
      </c>
      <c r="D53" s="7">
        <v>955</v>
      </c>
    </row>
    <row r="54" spans="2:4" x14ac:dyDescent="0.25">
      <c r="B54" s="1" t="s">
        <v>316</v>
      </c>
      <c r="C54" s="1" t="s">
        <v>317</v>
      </c>
      <c r="D54" s="7">
        <v>70</v>
      </c>
    </row>
    <row r="55" spans="2:4" x14ac:dyDescent="0.25">
      <c r="B55" s="1"/>
      <c r="C55" s="4" t="s">
        <v>272</v>
      </c>
      <c r="D55" s="6">
        <v>3018</v>
      </c>
    </row>
    <row r="56" spans="2:4" x14ac:dyDescent="0.25">
      <c r="B56" s="1"/>
      <c r="C56" s="4" t="s">
        <v>318</v>
      </c>
      <c r="D56" s="6">
        <v>218749.70585000003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249977111117893"/>
    <pageSetUpPr fitToPage="1"/>
  </sheetPr>
  <dimension ref="B2:W98"/>
  <sheetViews>
    <sheetView zoomScale="70" zoomScaleNormal="70" workbookViewId="0">
      <pane ySplit="5" topLeftCell="A6" activePane="bottomLeft" state="frozen"/>
      <selection activeCell="K22" sqref="K22"/>
      <selection pane="bottomLeft" activeCell="C5" sqref="C5:K85"/>
    </sheetView>
  </sheetViews>
  <sheetFormatPr defaultColWidth="8.85546875" defaultRowHeight="14.25" x14ac:dyDescent="0.2"/>
  <cols>
    <col min="1" max="1" width="2" style="22" customWidth="1"/>
    <col min="2" max="2" width="11.42578125" style="74" bestFit="1" customWidth="1"/>
    <col min="3" max="3" width="80" style="78" customWidth="1"/>
    <col min="4" max="4" width="16.85546875" style="22" hidden="1" customWidth="1"/>
    <col min="5" max="5" width="18.5703125" style="22" customWidth="1"/>
    <col min="6" max="6" width="16.85546875" style="22" customWidth="1"/>
    <col min="7" max="7" width="25.28515625" style="22" hidden="1" customWidth="1"/>
    <col min="8" max="8" width="29.5703125" style="22" hidden="1" customWidth="1"/>
    <col min="9" max="9" width="22" style="22" hidden="1" customWidth="1"/>
    <col min="10" max="10" width="17.42578125" style="22" customWidth="1"/>
    <col min="11" max="11" width="22" style="22" customWidth="1"/>
    <col min="12" max="12" width="15" style="22" hidden="1" customWidth="1"/>
    <col min="13" max="13" width="19.28515625" style="22" hidden="1" customWidth="1"/>
    <col min="14" max="14" width="20.140625" style="22" hidden="1" customWidth="1"/>
    <col min="15" max="15" width="6.5703125" style="22" hidden="1" customWidth="1"/>
    <col min="16" max="16" width="29.28515625" style="22" hidden="1" customWidth="1"/>
    <col min="17" max="21" width="8.85546875" style="22"/>
    <col min="22" max="22" width="148.28515625" style="22" bestFit="1" customWidth="1"/>
    <col min="23" max="16384" width="8.85546875" style="22"/>
  </cols>
  <sheetData>
    <row r="2" spans="2:21" ht="20.25" x14ac:dyDescent="0.2">
      <c r="C2" s="84" t="s">
        <v>0</v>
      </c>
    </row>
    <row r="3" spans="2:21" ht="15" x14ac:dyDescent="0.2">
      <c r="B3" s="75"/>
      <c r="C3" s="77"/>
    </row>
    <row r="4" spans="2:21" ht="15" x14ac:dyDescent="0.2">
      <c r="B4" s="75"/>
    </row>
    <row r="5" spans="2:21" ht="60" x14ac:dyDescent="0.25">
      <c r="B5" s="85" t="s">
        <v>861</v>
      </c>
      <c r="C5" s="86" t="s">
        <v>3</v>
      </c>
      <c r="D5" s="85" t="s">
        <v>383</v>
      </c>
      <c r="E5" s="127" t="s">
        <v>720</v>
      </c>
      <c r="F5" s="127" t="s">
        <v>794</v>
      </c>
      <c r="G5" s="127" t="s">
        <v>708</v>
      </c>
      <c r="H5" s="127" t="s">
        <v>706</v>
      </c>
      <c r="I5" s="127" t="s">
        <v>705</v>
      </c>
      <c r="J5" s="127" t="s">
        <v>721</v>
      </c>
      <c r="K5" s="127" t="s">
        <v>795</v>
      </c>
      <c r="L5" s="127" t="s">
        <v>709</v>
      </c>
      <c r="M5" s="130" t="s">
        <v>704</v>
      </c>
      <c r="N5" s="127" t="s">
        <v>703</v>
      </c>
      <c r="O5" s="127"/>
      <c r="P5" s="87" t="s">
        <v>644</v>
      </c>
    </row>
    <row r="6" spans="2:21" ht="15" x14ac:dyDescent="0.2">
      <c r="B6" s="88">
        <v>1</v>
      </c>
      <c r="C6" s="214" t="s">
        <v>4</v>
      </c>
      <c r="D6" s="215"/>
      <c r="E6" s="215"/>
      <c r="F6" s="215"/>
      <c r="G6" s="215"/>
      <c r="H6" s="215"/>
      <c r="I6" s="215"/>
      <c r="J6" s="215"/>
      <c r="K6" s="215"/>
      <c r="L6" s="215"/>
      <c r="M6" s="215"/>
      <c r="N6" s="215"/>
      <c r="O6" s="215"/>
      <c r="P6" s="216"/>
    </row>
    <row r="7" spans="2:21" x14ac:dyDescent="0.2">
      <c r="B7" s="73">
        <v>1.1000000000000001</v>
      </c>
      <c r="C7" s="72" t="s">
        <v>5</v>
      </c>
      <c r="D7" s="26">
        <v>1090</v>
      </c>
      <c r="E7" s="27">
        <v>0.35</v>
      </c>
      <c r="F7" s="27">
        <v>0.85</v>
      </c>
      <c r="G7" s="27">
        <v>0.1</v>
      </c>
      <c r="H7" s="27">
        <v>0.6</v>
      </c>
      <c r="I7" s="27">
        <v>0.6</v>
      </c>
      <c r="J7" s="27">
        <v>0.6</v>
      </c>
      <c r="K7" s="27">
        <v>0.95</v>
      </c>
      <c r="L7" s="27">
        <v>0.4</v>
      </c>
      <c r="M7" s="27">
        <v>0</v>
      </c>
      <c r="N7" s="27">
        <v>0</v>
      </c>
      <c r="O7" s="27">
        <v>1</v>
      </c>
      <c r="P7" s="26">
        <f t="shared" ref="P7:P22" si="0">M7*I7</f>
        <v>0</v>
      </c>
      <c r="R7" s="24">
        <v>1090</v>
      </c>
      <c r="S7" s="24">
        <v>135</v>
      </c>
      <c r="T7" s="24">
        <f t="shared" ref="T7:T38" si="1">R7*F7</f>
        <v>926.5</v>
      </c>
      <c r="U7" s="22">
        <f t="shared" ref="U7:U38" si="2">S7*K7</f>
        <v>128.25</v>
      </c>
    </row>
    <row r="8" spans="2:21" s="132" customFormat="1" x14ac:dyDescent="0.2">
      <c r="B8" s="131">
        <v>1.2</v>
      </c>
      <c r="C8" s="121" t="s">
        <v>6</v>
      </c>
      <c r="D8" s="122">
        <v>100</v>
      </c>
      <c r="E8" s="128">
        <v>0.25</v>
      </c>
      <c r="F8" s="128">
        <v>0.3</v>
      </c>
      <c r="G8" s="128">
        <v>0.25</v>
      </c>
      <c r="H8" s="128">
        <v>0</v>
      </c>
      <c r="I8" s="128">
        <v>0.6</v>
      </c>
      <c r="J8" s="128">
        <v>0.45</v>
      </c>
      <c r="K8" s="128">
        <v>0.5</v>
      </c>
      <c r="L8" s="128">
        <v>0.45</v>
      </c>
      <c r="M8" s="128">
        <v>0</v>
      </c>
      <c r="N8" s="128">
        <v>0</v>
      </c>
      <c r="O8" s="128">
        <v>1</v>
      </c>
      <c r="P8" s="122">
        <f t="shared" si="0"/>
        <v>0</v>
      </c>
      <c r="R8" s="133">
        <v>100</v>
      </c>
      <c r="S8" s="133">
        <v>25</v>
      </c>
      <c r="T8" s="24">
        <f t="shared" si="1"/>
        <v>30</v>
      </c>
      <c r="U8" s="22">
        <f t="shared" si="2"/>
        <v>12.5</v>
      </c>
    </row>
    <row r="9" spans="2:21" x14ac:dyDescent="0.2">
      <c r="B9" s="73">
        <v>1.3</v>
      </c>
      <c r="C9" s="72" t="s">
        <v>7</v>
      </c>
      <c r="D9" s="26">
        <v>1040</v>
      </c>
      <c r="E9" s="27">
        <v>0.9</v>
      </c>
      <c r="F9" s="27">
        <v>0.95</v>
      </c>
      <c r="G9" s="27">
        <v>0.9</v>
      </c>
      <c r="H9" s="27">
        <v>0.9</v>
      </c>
      <c r="I9" s="27">
        <v>0.7</v>
      </c>
      <c r="J9" s="27">
        <v>0.9</v>
      </c>
      <c r="K9" s="27">
        <v>0.95</v>
      </c>
      <c r="L9" s="27">
        <v>0.9</v>
      </c>
      <c r="M9" s="27">
        <v>0.9</v>
      </c>
      <c r="N9" s="27">
        <v>0.9</v>
      </c>
      <c r="O9" s="27">
        <v>1</v>
      </c>
      <c r="P9" s="26">
        <f t="shared" si="0"/>
        <v>0.63</v>
      </c>
      <c r="R9" s="24">
        <v>1040</v>
      </c>
      <c r="S9" s="24">
        <v>210</v>
      </c>
      <c r="T9" s="24">
        <f t="shared" si="1"/>
        <v>988</v>
      </c>
      <c r="U9" s="22">
        <f t="shared" si="2"/>
        <v>199.5</v>
      </c>
    </row>
    <row r="10" spans="2:21" ht="14.25" hidden="1" customHeight="1" x14ac:dyDescent="0.2">
      <c r="B10" s="73"/>
      <c r="C10" s="72" t="s">
        <v>640</v>
      </c>
      <c r="D10" s="26"/>
      <c r="E10" s="27"/>
      <c r="F10" s="27"/>
      <c r="G10" s="27"/>
      <c r="H10" s="27">
        <v>0.8</v>
      </c>
      <c r="I10" s="27">
        <v>0.8</v>
      </c>
      <c r="J10" s="27"/>
      <c r="K10" s="27"/>
      <c r="L10" s="27"/>
      <c r="M10" s="27">
        <v>0.8</v>
      </c>
      <c r="N10" s="27">
        <v>0.8</v>
      </c>
      <c r="O10" s="27">
        <v>1</v>
      </c>
      <c r="P10" s="26">
        <f t="shared" si="0"/>
        <v>0.64000000000000012</v>
      </c>
      <c r="R10" s="24"/>
      <c r="S10" s="24"/>
      <c r="T10" s="24">
        <f t="shared" si="1"/>
        <v>0</v>
      </c>
      <c r="U10" s="22">
        <f t="shared" si="2"/>
        <v>0</v>
      </c>
    </row>
    <row r="11" spans="2:21" ht="14.25" hidden="1" customHeight="1" x14ac:dyDescent="0.2">
      <c r="B11" s="73"/>
      <c r="C11" s="72" t="s">
        <v>641</v>
      </c>
      <c r="D11" s="26"/>
      <c r="E11" s="27"/>
      <c r="F11" s="27"/>
      <c r="G11" s="27"/>
      <c r="H11" s="27">
        <v>0.8</v>
      </c>
      <c r="I11" s="27">
        <v>0.7</v>
      </c>
      <c r="J11" s="27"/>
      <c r="K11" s="27"/>
      <c r="L11" s="27"/>
      <c r="M11" s="27">
        <v>0.8</v>
      </c>
      <c r="N11" s="27">
        <v>0.8</v>
      </c>
      <c r="O11" s="27">
        <v>1</v>
      </c>
      <c r="P11" s="26">
        <f t="shared" si="0"/>
        <v>0.55999999999999994</v>
      </c>
      <c r="R11" s="24"/>
      <c r="S11" s="24"/>
      <c r="T11" s="24">
        <f t="shared" si="1"/>
        <v>0</v>
      </c>
      <c r="U11" s="22">
        <f t="shared" si="2"/>
        <v>0</v>
      </c>
    </row>
    <row r="12" spans="2:21" ht="14.25" hidden="1" customHeight="1" x14ac:dyDescent="0.2">
      <c r="B12" s="73"/>
      <c r="C12" s="72" t="s">
        <v>642</v>
      </c>
      <c r="D12" s="26"/>
      <c r="E12" s="27"/>
      <c r="F12" s="27"/>
      <c r="G12" s="27"/>
      <c r="H12" s="27">
        <v>0.8</v>
      </c>
      <c r="I12" s="27">
        <v>0.3</v>
      </c>
      <c r="J12" s="27"/>
      <c r="K12" s="27"/>
      <c r="L12" s="27"/>
      <c r="M12" s="27">
        <v>0.8</v>
      </c>
      <c r="N12" s="27">
        <v>0.8</v>
      </c>
      <c r="O12" s="27">
        <v>1</v>
      </c>
      <c r="P12" s="26">
        <f t="shared" si="0"/>
        <v>0.24</v>
      </c>
      <c r="R12" s="24"/>
      <c r="S12" s="24"/>
      <c r="T12" s="24">
        <f t="shared" si="1"/>
        <v>0</v>
      </c>
      <c r="U12" s="22">
        <f t="shared" si="2"/>
        <v>0</v>
      </c>
    </row>
    <row r="13" spans="2:21" ht="14.25" hidden="1" customHeight="1" x14ac:dyDescent="0.2">
      <c r="B13" s="73"/>
      <c r="C13" s="72" t="s">
        <v>643</v>
      </c>
      <c r="D13" s="26"/>
      <c r="E13" s="27"/>
      <c r="F13" s="27"/>
      <c r="G13" s="27"/>
      <c r="H13" s="27">
        <v>0.8</v>
      </c>
      <c r="I13" s="27">
        <v>0.3</v>
      </c>
      <c r="J13" s="27"/>
      <c r="K13" s="27"/>
      <c r="L13" s="27"/>
      <c r="M13" s="27">
        <v>0.8</v>
      </c>
      <c r="N13" s="27">
        <v>0.8</v>
      </c>
      <c r="O13" s="27">
        <v>1</v>
      </c>
      <c r="P13" s="26">
        <f t="shared" si="0"/>
        <v>0.24</v>
      </c>
      <c r="R13" s="24"/>
      <c r="S13" s="24"/>
      <c r="T13" s="24">
        <f t="shared" si="1"/>
        <v>0</v>
      </c>
      <c r="U13" s="22">
        <f t="shared" si="2"/>
        <v>0</v>
      </c>
    </row>
    <row r="14" spans="2:21" x14ac:dyDescent="0.2">
      <c r="B14" s="73">
        <v>1.4</v>
      </c>
      <c r="C14" s="72" t="s">
        <v>8</v>
      </c>
      <c r="D14" s="26">
        <v>720</v>
      </c>
      <c r="E14" s="27">
        <v>0.9</v>
      </c>
      <c r="F14" s="27">
        <v>0.95</v>
      </c>
      <c r="G14" s="27">
        <v>0.9</v>
      </c>
      <c r="H14" s="27">
        <v>0.8</v>
      </c>
      <c r="I14" s="27">
        <v>0.4</v>
      </c>
      <c r="J14" s="27">
        <v>0.9</v>
      </c>
      <c r="K14" s="27">
        <v>0.95</v>
      </c>
      <c r="L14" s="27">
        <v>0.9</v>
      </c>
      <c r="M14" s="27">
        <v>0.8</v>
      </c>
      <c r="N14" s="27">
        <v>0.8</v>
      </c>
      <c r="O14" s="27">
        <v>1</v>
      </c>
      <c r="P14" s="26">
        <f t="shared" si="0"/>
        <v>0.32000000000000006</v>
      </c>
      <c r="R14" s="24">
        <v>720</v>
      </c>
      <c r="S14" s="24">
        <v>90</v>
      </c>
      <c r="T14" s="24">
        <f t="shared" si="1"/>
        <v>684</v>
      </c>
      <c r="U14" s="22">
        <f t="shared" si="2"/>
        <v>85.5</v>
      </c>
    </row>
    <row r="15" spans="2:21" x14ac:dyDescent="0.2">
      <c r="B15" s="73">
        <v>1.5</v>
      </c>
      <c r="C15" s="72" t="s">
        <v>9</v>
      </c>
      <c r="D15" s="26">
        <v>2415</v>
      </c>
      <c r="E15" s="27">
        <v>0.9</v>
      </c>
      <c r="F15" s="27">
        <v>0.95</v>
      </c>
      <c r="G15" s="27">
        <v>0.9</v>
      </c>
      <c r="H15" s="27">
        <v>0.85</v>
      </c>
      <c r="I15" s="27">
        <v>0.55000000000000004</v>
      </c>
      <c r="J15" s="27">
        <v>0.9</v>
      </c>
      <c r="K15" s="27">
        <v>0.95</v>
      </c>
      <c r="L15" s="27">
        <v>0.9</v>
      </c>
      <c r="M15" s="27">
        <v>0.9</v>
      </c>
      <c r="N15" s="27">
        <v>0.9</v>
      </c>
      <c r="O15" s="27">
        <v>1</v>
      </c>
      <c r="P15" s="26">
        <f t="shared" si="0"/>
        <v>0.49500000000000005</v>
      </c>
      <c r="R15" s="24">
        <v>2415</v>
      </c>
      <c r="S15" s="24">
        <v>35</v>
      </c>
      <c r="T15" s="24">
        <f t="shared" si="1"/>
        <v>2294.25</v>
      </c>
      <c r="U15" s="22">
        <f t="shared" si="2"/>
        <v>33.25</v>
      </c>
    </row>
    <row r="16" spans="2:21" x14ac:dyDescent="0.2">
      <c r="B16" s="73">
        <v>1.6</v>
      </c>
      <c r="C16" s="72" t="s">
        <v>10</v>
      </c>
      <c r="D16" s="26">
        <v>185</v>
      </c>
      <c r="E16" s="27">
        <v>0.9</v>
      </c>
      <c r="F16" s="27">
        <v>0.95</v>
      </c>
      <c r="G16" s="27">
        <v>0.85</v>
      </c>
      <c r="H16" s="27">
        <v>0.8</v>
      </c>
      <c r="I16" s="27">
        <v>0.3</v>
      </c>
      <c r="J16" s="27">
        <v>0.9</v>
      </c>
      <c r="K16" s="27">
        <v>0.95</v>
      </c>
      <c r="L16" s="27">
        <v>0.85</v>
      </c>
      <c r="M16" s="27">
        <v>0.8</v>
      </c>
      <c r="N16" s="27">
        <v>0.45</v>
      </c>
      <c r="O16" s="27">
        <v>1</v>
      </c>
      <c r="P16" s="26">
        <f t="shared" si="0"/>
        <v>0.24</v>
      </c>
      <c r="R16" s="24">
        <v>185</v>
      </c>
      <c r="S16" s="24">
        <v>410</v>
      </c>
      <c r="T16" s="24">
        <f t="shared" si="1"/>
        <v>175.75</v>
      </c>
      <c r="U16" s="22">
        <f t="shared" si="2"/>
        <v>389.5</v>
      </c>
    </row>
    <row r="17" spans="2:21" x14ac:dyDescent="0.2">
      <c r="B17" s="73">
        <v>1.7</v>
      </c>
      <c r="C17" s="72" t="s">
        <v>11</v>
      </c>
      <c r="D17" s="26">
        <v>770</v>
      </c>
      <c r="E17" s="27">
        <v>0.75</v>
      </c>
      <c r="F17" s="27">
        <v>0.9</v>
      </c>
      <c r="G17" s="27">
        <v>0.6</v>
      </c>
      <c r="H17" s="27">
        <v>0.25</v>
      </c>
      <c r="I17" s="27">
        <v>0</v>
      </c>
      <c r="J17" s="27">
        <v>0.9</v>
      </c>
      <c r="K17" s="27">
        <v>0.95</v>
      </c>
      <c r="L17" s="27">
        <v>0.9</v>
      </c>
      <c r="M17" s="27">
        <v>0.5</v>
      </c>
      <c r="N17" s="27">
        <v>0.45</v>
      </c>
      <c r="O17" s="27">
        <v>1</v>
      </c>
      <c r="P17" s="26">
        <f t="shared" si="0"/>
        <v>0</v>
      </c>
      <c r="R17" s="24">
        <v>770</v>
      </c>
      <c r="S17" s="24">
        <v>180</v>
      </c>
      <c r="T17" s="24">
        <f t="shared" si="1"/>
        <v>693</v>
      </c>
      <c r="U17" s="22">
        <f t="shared" si="2"/>
        <v>171</v>
      </c>
    </row>
    <row r="18" spans="2:21" x14ac:dyDescent="0.2">
      <c r="B18" s="73">
        <v>1.8</v>
      </c>
      <c r="C18" s="72" t="s">
        <v>12</v>
      </c>
      <c r="D18" s="26">
        <v>60</v>
      </c>
      <c r="E18" s="27">
        <v>0.85</v>
      </c>
      <c r="F18" s="27">
        <v>0.9</v>
      </c>
      <c r="G18" s="27">
        <v>0.8</v>
      </c>
      <c r="H18" s="27">
        <v>0.9</v>
      </c>
      <c r="I18" s="27">
        <v>0.9</v>
      </c>
      <c r="J18" s="27">
        <v>0.9</v>
      </c>
      <c r="K18" s="27">
        <v>0.95</v>
      </c>
      <c r="L18" s="27">
        <v>0.9</v>
      </c>
      <c r="M18" s="27">
        <v>0.9</v>
      </c>
      <c r="N18" s="27">
        <v>0</v>
      </c>
      <c r="O18" s="27">
        <v>1</v>
      </c>
      <c r="P18" s="26">
        <f t="shared" si="0"/>
        <v>0.81</v>
      </c>
      <c r="R18" s="24">
        <v>60</v>
      </c>
      <c r="S18" s="24">
        <v>35</v>
      </c>
      <c r="T18" s="24">
        <f t="shared" si="1"/>
        <v>54</v>
      </c>
      <c r="U18" s="22">
        <f t="shared" si="2"/>
        <v>33.25</v>
      </c>
    </row>
    <row r="19" spans="2:21" x14ac:dyDescent="0.2">
      <c r="B19" s="73">
        <v>1.9</v>
      </c>
      <c r="C19" s="72" t="s">
        <v>13</v>
      </c>
      <c r="D19" s="26">
        <v>745</v>
      </c>
      <c r="E19" s="27">
        <v>0.9</v>
      </c>
      <c r="F19" s="27">
        <v>0.95</v>
      </c>
      <c r="G19" s="27">
        <v>0.85</v>
      </c>
      <c r="H19" s="27">
        <v>0.85</v>
      </c>
      <c r="I19" s="27">
        <v>0.4</v>
      </c>
      <c r="J19" s="27">
        <v>0.9</v>
      </c>
      <c r="K19" s="27">
        <v>0.95</v>
      </c>
      <c r="L19" s="27">
        <v>0.9</v>
      </c>
      <c r="M19" s="27">
        <v>0.85</v>
      </c>
      <c r="N19" s="27">
        <v>0.85</v>
      </c>
      <c r="O19" s="27">
        <v>1</v>
      </c>
      <c r="P19" s="26">
        <f t="shared" si="0"/>
        <v>0.34</v>
      </c>
      <c r="R19" s="24">
        <v>745</v>
      </c>
      <c r="S19" s="24">
        <v>205</v>
      </c>
      <c r="T19" s="24">
        <f t="shared" si="1"/>
        <v>707.75</v>
      </c>
      <c r="U19" s="22">
        <f t="shared" si="2"/>
        <v>194.75</v>
      </c>
    </row>
    <row r="20" spans="2:21" x14ac:dyDescent="0.2">
      <c r="B20" s="73">
        <v>1.1000000000000001</v>
      </c>
      <c r="C20" s="72" t="s">
        <v>14</v>
      </c>
      <c r="D20" s="26">
        <v>225</v>
      </c>
      <c r="E20" s="27">
        <v>0.95</v>
      </c>
      <c r="F20" s="27">
        <v>0.95</v>
      </c>
      <c r="G20" s="27">
        <v>0.95</v>
      </c>
      <c r="H20" s="27">
        <v>0.9</v>
      </c>
      <c r="I20" s="27">
        <v>0.5</v>
      </c>
      <c r="J20" s="27">
        <v>0.95</v>
      </c>
      <c r="K20" s="27">
        <v>0.95</v>
      </c>
      <c r="L20" s="27">
        <v>0.95</v>
      </c>
      <c r="M20" s="27">
        <v>0.9</v>
      </c>
      <c r="N20" s="27">
        <v>0.65</v>
      </c>
      <c r="O20" s="27">
        <v>1</v>
      </c>
      <c r="P20" s="26">
        <f t="shared" si="0"/>
        <v>0.45</v>
      </c>
      <c r="R20" s="24">
        <v>225</v>
      </c>
      <c r="S20" s="24">
        <v>25</v>
      </c>
      <c r="T20" s="24">
        <f t="shared" si="1"/>
        <v>213.75</v>
      </c>
      <c r="U20" s="22">
        <f t="shared" si="2"/>
        <v>23.75</v>
      </c>
    </row>
    <row r="21" spans="2:21" x14ac:dyDescent="0.2">
      <c r="B21" s="73">
        <v>1.1100000000000001</v>
      </c>
      <c r="C21" s="72" t="s">
        <v>674</v>
      </c>
      <c r="D21" s="26">
        <v>675</v>
      </c>
      <c r="E21" s="27">
        <v>0.9</v>
      </c>
      <c r="F21" s="27">
        <v>0.95</v>
      </c>
      <c r="G21" s="27">
        <v>0.9</v>
      </c>
      <c r="H21" s="27">
        <v>0.85</v>
      </c>
      <c r="I21" s="27">
        <v>0.7</v>
      </c>
      <c r="J21" s="27">
        <v>0.95</v>
      </c>
      <c r="K21" s="27">
        <v>0.95</v>
      </c>
      <c r="L21" s="27">
        <v>0.95</v>
      </c>
      <c r="M21" s="27">
        <v>0.85</v>
      </c>
      <c r="N21" s="27">
        <v>0.85</v>
      </c>
      <c r="O21" s="27">
        <v>1</v>
      </c>
      <c r="P21" s="26">
        <f t="shared" si="0"/>
        <v>0.59499999999999997</v>
      </c>
      <c r="R21" s="24">
        <v>675</v>
      </c>
      <c r="S21" s="24">
        <v>225</v>
      </c>
      <c r="T21" s="24">
        <f t="shared" si="1"/>
        <v>641.25</v>
      </c>
      <c r="U21" s="22">
        <f t="shared" si="2"/>
        <v>213.75</v>
      </c>
    </row>
    <row r="22" spans="2:21" x14ac:dyDescent="0.2">
      <c r="B22" s="73">
        <v>1.1200000000000001</v>
      </c>
      <c r="C22" s="72" t="s">
        <v>15</v>
      </c>
      <c r="D22" s="26">
        <v>540</v>
      </c>
      <c r="E22" s="27">
        <v>0.95</v>
      </c>
      <c r="F22" s="27">
        <v>0.95</v>
      </c>
      <c r="G22" s="27">
        <v>0.95</v>
      </c>
      <c r="H22" s="27">
        <v>0.95</v>
      </c>
      <c r="I22" s="27">
        <v>0.8</v>
      </c>
      <c r="J22" s="27">
        <v>0.95</v>
      </c>
      <c r="K22" s="27">
        <v>0.95</v>
      </c>
      <c r="L22" s="27">
        <v>0.95</v>
      </c>
      <c r="M22" s="27">
        <v>0.95</v>
      </c>
      <c r="N22" s="27">
        <v>0.9</v>
      </c>
      <c r="O22" s="27">
        <v>1</v>
      </c>
      <c r="P22" s="26">
        <f t="shared" si="0"/>
        <v>0.76</v>
      </c>
      <c r="R22" s="24">
        <v>540</v>
      </c>
      <c r="S22" s="24">
        <v>5</v>
      </c>
      <c r="T22" s="24">
        <f t="shared" si="1"/>
        <v>513</v>
      </c>
      <c r="U22" s="22">
        <f t="shared" si="2"/>
        <v>4.75</v>
      </c>
    </row>
    <row r="23" spans="2:21" s="30" customFormat="1" ht="15" hidden="1" customHeight="1" x14ac:dyDescent="0.25">
      <c r="B23" s="92"/>
      <c r="C23" s="93" t="s">
        <v>16</v>
      </c>
      <c r="D23" s="94">
        <v>8565</v>
      </c>
      <c r="E23" s="96"/>
      <c r="F23" s="96"/>
      <c r="G23" s="96"/>
      <c r="H23" s="96">
        <v>0.74062499999999987</v>
      </c>
      <c r="I23" s="96">
        <v>1580</v>
      </c>
      <c r="J23" s="96"/>
      <c r="K23" s="96"/>
      <c r="L23" s="96"/>
      <c r="M23" s="96">
        <v>0.72187499999999993</v>
      </c>
      <c r="N23" s="96">
        <v>9.9499999999999993</v>
      </c>
      <c r="O23" s="96">
        <v>1</v>
      </c>
      <c r="P23" s="94">
        <f>SUBTOTAL(9,P7:P22)</f>
        <v>6.32</v>
      </c>
      <c r="R23" s="23"/>
      <c r="S23" s="23"/>
      <c r="T23" s="24">
        <f t="shared" si="1"/>
        <v>0</v>
      </c>
      <c r="U23" s="22">
        <f t="shared" si="2"/>
        <v>0</v>
      </c>
    </row>
    <row r="24" spans="2:21" ht="15" x14ac:dyDescent="0.2">
      <c r="B24" s="89">
        <v>2</v>
      </c>
      <c r="C24" s="214" t="s">
        <v>17</v>
      </c>
      <c r="D24" s="215"/>
      <c r="E24" s="215"/>
      <c r="F24" s="215"/>
      <c r="G24" s="215"/>
      <c r="H24" s="215"/>
      <c r="I24" s="215"/>
      <c r="J24" s="215"/>
      <c r="K24" s="215"/>
      <c r="L24" s="215"/>
      <c r="M24" s="215"/>
      <c r="N24" s="215"/>
      <c r="O24" s="215"/>
      <c r="P24" s="90"/>
      <c r="R24" s="24"/>
      <c r="S24" s="24"/>
      <c r="T24" s="24">
        <f t="shared" si="1"/>
        <v>0</v>
      </c>
      <c r="U24" s="22">
        <f t="shared" si="2"/>
        <v>0</v>
      </c>
    </row>
    <row r="25" spans="2:21" x14ac:dyDescent="0.2">
      <c r="B25" s="73">
        <v>2.1</v>
      </c>
      <c r="C25" s="72" t="s">
        <v>18</v>
      </c>
      <c r="D25" s="26">
        <v>350</v>
      </c>
      <c r="E25" s="27">
        <v>0.5</v>
      </c>
      <c r="F25" s="27">
        <v>0.5</v>
      </c>
      <c r="G25" s="27">
        <v>0.4</v>
      </c>
      <c r="H25" s="27">
        <v>0</v>
      </c>
      <c r="I25" s="27">
        <v>0</v>
      </c>
      <c r="J25" s="27">
        <v>0.7</v>
      </c>
      <c r="K25" s="27">
        <v>0.7</v>
      </c>
      <c r="L25" s="27">
        <v>0.6</v>
      </c>
      <c r="M25" s="27">
        <v>0</v>
      </c>
      <c r="N25" s="27">
        <v>0</v>
      </c>
      <c r="O25" s="27">
        <v>1</v>
      </c>
      <c r="P25" s="26">
        <f t="shared" ref="P25:P38" si="3">M25*I25</f>
        <v>0</v>
      </c>
      <c r="R25" s="24">
        <v>350</v>
      </c>
      <c r="S25" s="24">
        <v>450</v>
      </c>
      <c r="T25" s="24">
        <f t="shared" si="1"/>
        <v>175</v>
      </c>
      <c r="U25" s="22">
        <f t="shared" si="2"/>
        <v>315</v>
      </c>
    </row>
    <row r="26" spans="2:21" x14ac:dyDescent="0.2">
      <c r="B26" s="73">
        <v>2.2000000000000002</v>
      </c>
      <c r="C26" s="72" t="s">
        <v>19</v>
      </c>
      <c r="D26" s="26">
        <v>155</v>
      </c>
      <c r="E26" s="27">
        <v>0</v>
      </c>
      <c r="F26" s="27">
        <v>0.5</v>
      </c>
      <c r="G26" s="27">
        <v>0</v>
      </c>
      <c r="H26" s="27">
        <v>0</v>
      </c>
      <c r="I26" s="27">
        <v>0</v>
      </c>
      <c r="J26" s="27">
        <v>0</v>
      </c>
      <c r="K26" s="27">
        <v>0.6</v>
      </c>
      <c r="L26" s="27">
        <v>0</v>
      </c>
      <c r="M26" s="27">
        <v>0</v>
      </c>
      <c r="N26" s="27">
        <v>0</v>
      </c>
      <c r="O26" s="27">
        <v>1</v>
      </c>
      <c r="P26" s="26">
        <f t="shared" si="3"/>
        <v>0</v>
      </c>
      <c r="R26" s="24">
        <v>155</v>
      </c>
      <c r="S26" s="24">
        <v>195</v>
      </c>
      <c r="T26" s="24">
        <f t="shared" si="1"/>
        <v>77.5</v>
      </c>
      <c r="U26" s="22">
        <f t="shared" si="2"/>
        <v>117</v>
      </c>
    </row>
    <row r="27" spans="2:21" x14ac:dyDescent="0.2">
      <c r="B27" s="73">
        <v>2.2999999999999998</v>
      </c>
      <c r="C27" s="72" t="s">
        <v>20</v>
      </c>
      <c r="D27" s="26">
        <v>185</v>
      </c>
      <c r="E27" s="27">
        <v>0.5</v>
      </c>
      <c r="F27" s="27">
        <v>0.5</v>
      </c>
      <c r="G27" s="27">
        <v>0.4</v>
      </c>
      <c r="H27" s="27">
        <v>0</v>
      </c>
      <c r="I27" s="27">
        <v>0</v>
      </c>
      <c r="J27" s="27">
        <v>0.6</v>
      </c>
      <c r="K27" s="27">
        <v>0.6</v>
      </c>
      <c r="L27" s="27">
        <v>0.6</v>
      </c>
      <c r="M27" s="27">
        <v>0</v>
      </c>
      <c r="N27" s="27">
        <v>0</v>
      </c>
      <c r="O27" s="27">
        <v>1</v>
      </c>
      <c r="P27" s="26">
        <f t="shared" si="3"/>
        <v>0</v>
      </c>
      <c r="R27" s="24">
        <v>185</v>
      </c>
      <c r="S27" s="24">
        <v>465</v>
      </c>
      <c r="T27" s="24">
        <f t="shared" si="1"/>
        <v>92.5</v>
      </c>
      <c r="U27" s="22">
        <f t="shared" si="2"/>
        <v>279</v>
      </c>
    </row>
    <row r="28" spans="2:21" x14ac:dyDescent="0.2">
      <c r="B28" s="73">
        <v>2.4</v>
      </c>
      <c r="C28" s="72" t="s">
        <v>21</v>
      </c>
      <c r="D28" s="26">
        <v>340</v>
      </c>
      <c r="E28" s="40">
        <v>0.9</v>
      </c>
      <c r="F28" s="40">
        <v>0.95</v>
      </c>
      <c r="G28" s="40">
        <v>0.9</v>
      </c>
      <c r="H28" s="40">
        <v>0.9</v>
      </c>
      <c r="I28" s="40">
        <v>0.9</v>
      </c>
      <c r="J28" s="40">
        <v>0.9</v>
      </c>
      <c r="K28" s="40">
        <v>0.95</v>
      </c>
      <c r="L28" s="40">
        <v>0.9</v>
      </c>
      <c r="M28" s="40">
        <v>0.85</v>
      </c>
      <c r="N28" s="40">
        <v>0.85</v>
      </c>
      <c r="O28" s="40">
        <v>1</v>
      </c>
      <c r="P28" s="26">
        <f t="shared" si="3"/>
        <v>0.76500000000000001</v>
      </c>
      <c r="R28" s="24">
        <v>340</v>
      </c>
      <c r="S28" s="24">
        <v>10</v>
      </c>
      <c r="T28" s="24">
        <f t="shared" si="1"/>
        <v>323</v>
      </c>
      <c r="U28" s="22">
        <f t="shared" si="2"/>
        <v>9.5</v>
      </c>
    </row>
    <row r="29" spans="2:21" x14ac:dyDescent="0.2">
      <c r="B29" s="73">
        <v>2.5</v>
      </c>
      <c r="C29" s="72" t="s">
        <v>22</v>
      </c>
      <c r="D29" s="26">
        <v>630</v>
      </c>
      <c r="E29" s="40">
        <v>0.95</v>
      </c>
      <c r="F29" s="40">
        <v>0.95</v>
      </c>
      <c r="G29" s="40">
        <v>0.95</v>
      </c>
      <c r="H29" s="40">
        <v>0.95</v>
      </c>
      <c r="I29" s="40">
        <v>0.85</v>
      </c>
      <c r="J29" s="40">
        <v>0.95</v>
      </c>
      <c r="K29" s="40">
        <v>0.95</v>
      </c>
      <c r="L29" s="40">
        <v>0.95</v>
      </c>
      <c r="M29" s="40">
        <v>0.95</v>
      </c>
      <c r="N29" s="40">
        <v>0.9</v>
      </c>
      <c r="O29" s="40">
        <v>1</v>
      </c>
      <c r="P29" s="26">
        <f t="shared" si="3"/>
        <v>0.8075</v>
      </c>
      <c r="R29" s="24">
        <v>630</v>
      </c>
      <c r="S29" s="24">
        <v>20</v>
      </c>
      <c r="T29" s="24">
        <f t="shared" si="1"/>
        <v>598.5</v>
      </c>
      <c r="U29" s="22">
        <f t="shared" si="2"/>
        <v>19</v>
      </c>
    </row>
    <row r="30" spans="2:21" x14ac:dyDescent="0.2">
      <c r="B30" s="73">
        <v>2.6</v>
      </c>
      <c r="C30" s="121" t="s">
        <v>23</v>
      </c>
      <c r="D30" s="122">
        <v>2175</v>
      </c>
      <c r="E30" s="27">
        <v>0.9</v>
      </c>
      <c r="F30" s="27">
        <v>0.95</v>
      </c>
      <c r="G30" s="27">
        <v>0.9</v>
      </c>
      <c r="H30" s="27">
        <v>0.9</v>
      </c>
      <c r="I30" s="27">
        <v>0.9</v>
      </c>
      <c r="J30" s="27">
        <v>0.9</v>
      </c>
      <c r="K30" s="27">
        <v>0.95</v>
      </c>
      <c r="L30" s="27">
        <v>0.9</v>
      </c>
      <c r="M30" s="27">
        <v>0.85</v>
      </c>
      <c r="N30" s="27">
        <v>0.85</v>
      </c>
      <c r="O30" s="27">
        <v>1</v>
      </c>
      <c r="P30" s="26">
        <f t="shared" si="3"/>
        <v>0.76500000000000001</v>
      </c>
      <c r="R30" s="24">
        <v>2175</v>
      </c>
      <c r="S30" s="24">
        <v>20</v>
      </c>
      <c r="T30" s="24">
        <f t="shared" si="1"/>
        <v>2066.25</v>
      </c>
      <c r="U30" s="22">
        <f t="shared" si="2"/>
        <v>19</v>
      </c>
    </row>
    <row r="31" spans="2:21" hidden="1" x14ac:dyDescent="0.2">
      <c r="B31" s="73">
        <v>2.7</v>
      </c>
      <c r="C31" s="72" t="s">
        <v>24</v>
      </c>
      <c r="D31" s="26">
        <v>0</v>
      </c>
      <c r="E31" s="27"/>
      <c r="F31" s="27"/>
      <c r="G31" s="27">
        <v>0</v>
      </c>
      <c r="H31" s="27">
        <v>0</v>
      </c>
      <c r="I31" s="27">
        <v>0</v>
      </c>
      <c r="J31" s="27"/>
      <c r="K31" s="27"/>
      <c r="L31" s="27">
        <v>0</v>
      </c>
      <c r="M31" s="27">
        <v>0</v>
      </c>
      <c r="N31" s="27">
        <v>0</v>
      </c>
      <c r="O31" s="27">
        <v>1</v>
      </c>
      <c r="P31" s="26">
        <f t="shared" si="3"/>
        <v>0</v>
      </c>
      <c r="R31" s="24"/>
      <c r="S31" s="24"/>
      <c r="T31" s="24">
        <f t="shared" si="1"/>
        <v>0</v>
      </c>
      <c r="U31" s="22">
        <f t="shared" si="2"/>
        <v>0</v>
      </c>
    </row>
    <row r="32" spans="2:21" x14ac:dyDescent="0.2">
      <c r="B32" s="73">
        <v>2.8</v>
      </c>
      <c r="C32" s="121" t="s">
        <v>676</v>
      </c>
      <c r="D32" s="122">
        <v>295</v>
      </c>
      <c r="E32" s="123">
        <v>0.95</v>
      </c>
      <c r="F32" s="123">
        <v>0.95</v>
      </c>
      <c r="G32" s="123">
        <v>0.95</v>
      </c>
      <c r="H32" s="123">
        <v>0.95</v>
      </c>
      <c r="I32" s="123">
        <v>0.95</v>
      </c>
      <c r="J32" s="123">
        <v>0.95</v>
      </c>
      <c r="K32" s="123">
        <v>0.95</v>
      </c>
      <c r="L32" s="123">
        <v>0.95</v>
      </c>
      <c r="M32" s="123">
        <v>0.95</v>
      </c>
      <c r="N32" s="123">
        <v>0.85</v>
      </c>
      <c r="O32" s="123">
        <v>1</v>
      </c>
      <c r="P32" s="26">
        <f t="shared" si="3"/>
        <v>0.90249999999999997</v>
      </c>
      <c r="R32" s="24">
        <v>295</v>
      </c>
      <c r="S32" s="24">
        <v>15</v>
      </c>
      <c r="T32" s="24">
        <f t="shared" si="1"/>
        <v>280.25</v>
      </c>
      <c r="U32" s="22">
        <f t="shared" si="2"/>
        <v>14.25</v>
      </c>
    </row>
    <row r="33" spans="2:21" s="132" customFormat="1" x14ac:dyDescent="0.2">
      <c r="B33" s="131">
        <v>2.9</v>
      </c>
      <c r="C33" s="121" t="s">
        <v>710</v>
      </c>
      <c r="D33" s="122">
        <v>290</v>
      </c>
      <c r="E33" s="128">
        <v>0.8</v>
      </c>
      <c r="F33" s="128">
        <v>0.95</v>
      </c>
      <c r="G33" s="128">
        <v>0.75</v>
      </c>
      <c r="H33" s="128">
        <v>0.75</v>
      </c>
      <c r="I33" s="128">
        <v>0.75</v>
      </c>
      <c r="J33" s="128">
        <v>0.8</v>
      </c>
      <c r="K33" s="128">
        <v>0.95</v>
      </c>
      <c r="L33" s="128">
        <v>0.75</v>
      </c>
      <c r="M33" s="128">
        <v>0.75</v>
      </c>
      <c r="N33" s="128">
        <v>0.75</v>
      </c>
      <c r="O33" s="128">
        <v>1</v>
      </c>
      <c r="P33" s="122">
        <f t="shared" si="3"/>
        <v>0.5625</v>
      </c>
      <c r="R33" s="133">
        <v>290</v>
      </c>
      <c r="S33" s="133">
        <v>0</v>
      </c>
      <c r="T33" s="24">
        <f t="shared" si="1"/>
        <v>275.5</v>
      </c>
      <c r="U33" s="22">
        <f t="shared" si="2"/>
        <v>0</v>
      </c>
    </row>
    <row r="34" spans="2:21" x14ac:dyDescent="0.2">
      <c r="B34" s="73">
        <v>2.1</v>
      </c>
      <c r="C34" s="72" t="s">
        <v>26</v>
      </c>
      <c r="D34" s="26">
        <v>340</v>
      </c>
      <c r="E34" s="40">
        <v>0.95</v>
      </c>
      <c r="F34" s="40">
        <v>0.95</v>
      </c>
      <c r="G34" s="40">
        <v>0.95</v>
      </c>
      <c r="H34" s="40">
        <v>0.95</v>
      </c>
      <c r="I34" s="40">
        <v>0.95</v>
      </c>
      <c r="J34" s="40">
        <v>0.95</v>
      </c>
      <c r="K34" s="40">
        <v>0.95</v>
      </c>
      <c r="L34" s="40">
        <v>0.95</v>
      </c>
      <c r="M34" s="40">
        <v>0.95</v>
      </c>
      <c r="N34" s="40">
        <v>0.9</v>
      </c>
      <c r="O34" s="40">
        <v>1</v>
      </c>
      <c r="P34" s="26">
        <f t="shared" si="3"/>
        <v>0.90249999999999997</v>
      </c>
      <c r="R34" s="24">
        <v>340</v>
      </c>
      <c r="S34" s="24">
        <v>10</v>
      </c>
      <c r="T34" s="24">
        <f t="shared" si="1"/>
        <v>323</v>
      </c>
      <c r="U34" s="22">
        <f t="shared" si="2"/>
        <v>9.5</v>
      </c>
    </row>
    <row r="35" spans="2:21" x14ac:dyDescent="0.2">
      <c r="B35" s="73">
        <v>2.11</v>
      </c>
      <c r="C35" s="121" t="s">
        <v>27</v>
      </c>
      <c r="D35" s="26">
        <v>400</v>
      </c>
      <c r="E35" s="27">
        <v>0.95</v>
      </c>
      <c r="F35" s="27">
        <v>0.95</v>
      </c>
      <c r="G35" s="27">
        <v>0.95</v>
      </c>
      <c r="H35" s="27">
        <v>0.95</v>
      </c>
      <c r="I35" s="27">
        <v>0.95</v>
      </c>
      <c r="J35" s="27">
        <v>0.95</v>
      </c>
      <c r="K35" s="27">
        <v>0.95</v>
      </c>
      <c r="L35" s="27">
        <v>0.95</v>
      </c>
      <c r="M35" s="27">
        <v>0.9</v>
      </c>
      <c r="N35" s="27">
        <v>0.9</v>
      </c>
      <c r="O35" s="27">
        <v>1</v>
      </c>
      <c r="P35" s="26">
        <f t="shared" si="3"/>
        <v>0.85499999999999998</v>
      </c>
      <c r="R35" s="24">
        <v>400</v>
      </c>
      <c r="S35" s="24">
        <v>10</v>
      </c>
      <c r="T35" s="24">
        <f t="shared" si="1"/>
        <v>380</v>
      </c>
      <c r="U35" s="22">
        <f t="shared" si="2"/>
        <v>9.5</v>
      </c>
    </row>
    <row r="36" spans="2:21" x14ac:dyDescent="0.2">
      <c r="B36" s="73">
        <v>2.12</v>
      </c>
      <c r="C36" s="72" t="s">
        <v>28</v>
      </c>
      <c r="D36" s="26">
        <v>1385</v>
      </c>
      <c r="E36" s="40">
        <v>0.95</v>
      </c>
      <c r="F36" s="40">
        <v>0.95</v>
      </c>
      <c r="G36" s="40">
        <v>0.95</v>
      </c>
      <c r="H36" s="40">
        <v>0.95</v>
      </c>
      <c r="I36" s="40">
        <v>0.95</v>
      </c>
      <c r="J36" s="40">
        <v>0.95</v>
      </c>
      <c r="K36" s="40">
        <v>0.95</v>
      </c>
      <c r="L36" s="40">
        <v>0.95</v>
      </c>
      <c r="M36" s="40">
        <v>0.9</v>
      </c>
      <c r="N36" s="40">
        <v>0.9</v>
      </c>
      <c r="O36" s="40">
        <v>1</v>
      </c>
      <c r="P36" s="26">
        <f t="shared" si="3"/>
        <v>0.85499999999999998</v>
      </c>
      <c r="R36" s="24">
        <v>1385</v>
      </c>
      <c r="S36" s="24">
        <v>15</v>
      </c>
      <c r="T36" s="24">
        <f t="shared" si="1"/>
        <v>1315.75</v>
      </c>
      <c r="U36" s="22">
        <f t="shared" si="2"/>
        <v>14.25</v>
      </c>
    </row>
    <row r="37" spans="2:21" x14ac:dyDescent="0.2">
      <c r="B37" s="73">
        <v>2.13</v>
      </c>
      <c r="C37" s="72" t="s">
        <v>29</v>
      </c>
      <c r="D37" s="26">
        <v>400</v>
      </c>
      <c r="E37" s="27">
        <v>0.4</v>
      </c>
      <c r="F37" s="27">
        <v>0.4</v>
      </c>
      <c r="G37" s="27">
        <v>0.4</v>
      </c>
      <c r="H37" s="27">
        <v>0.6</v>
      </c>
      <c r="I37" s="27">
        <v>0.6</v>
      </c>
      <c r="J37" s="27">
        <v>0.6</v>
      </c>
      <c r="K37" s="27">
        <v>0.6</v>
      </c>
      <c r="L37" s="27">
        <v>0.6</v>
      </c>
      <c r="M37" s="27">
        <v>0</v>
      </c>
      <c r="N37" s="27">
        <v>0</v>
      </c>
      <c r="O37" s="27">
        <v>1</v>
      </c>
      <c r="P37" s="26">
        <f t="shared" si="3"/>
        <v>0</v>
      </c>
      <c r="R37" s="24">
        <v>400</v>
      </c>
      <c r="S37" s="24">
        <v>15</v>
      </c>
      <c r="T37" s="24">
        <f t="shared" si="1"/>
        <v>160</v>
      </c>
      <c r="U37" s="22">
        <f t="shared" si="2"/>
        <v>9</v>
      </c>
    </row>
    <row r="38" spans="2:21" s="30" customFormat="1" ht="15" hidden="1" customHeight="1" x14ac:dyDescent="0.25">
      <c r="B38" s="92"/>
      <c r="C38" s="93" t="s">
        <v>30</v>
      </c>
      <c r="D38" s="94">
        <v>6945</v>
      </c>
      <c r="E38" s="96"/>
      <c r="F38" s="96"/>
      <c r="G38" s="96"/>
      <c r="H38" s="96">
        <v>0.60769230769230775</v>
      </c>
      <c r="I38" s="96">
        <v>1225</v>
      </c>
      <c r="J38" s="96"/>
      <c r="K38" s="96"/>
      <c r="L38" s="96"/>
      <c r="M38" s="96">
        <v>0.54615384615384621</v>
      </c>
      <c r="N38" s="96">
        <v>6.9000000000000012</v>
      </c>
      <c r="O38" s="96">
        <v>1</v>
      </c>
      <c r="P38" s="94">
        <f t="shared" si="3"/>
        <v>669.03846153846166</v>
      </c>
      <c r="R38" s="23"/>
      <c r="S38" s="23"/>
      <c r="T38" s="24">
        <f t="shared" si="1"/>
        <v>0</v>
      </c>
      <c r="U38" s="22">
        <f t="shared" si="2"/>
        <v>0</v>
      </c>
    </row>
    <row r="39" spans="2:21" ht="15" x14ac:dyDescent="0.2">
      <c r="B39" s="89">
        <v>3</v>
      </c>
      <c r="C39" s="214" t="s">
        <v>31</v>
      </c>
      <c r="D39" s="215"/>
      <c r="E39" s="215"/>
      <c r="F39" s="215"/>
      <c r="G39" s="215"/>
      <c r="H39" s="215"/>
      <c r="I39" s="215"/>
      <c r="J39" s="215"/>
      <c r="K39" s="215"/>
      <c r="L39" s="215"/>
      <c r="M39" s="215"/>
      <c r="N39" s="215"/>
      <c r="O39" s="215"/>
      <c r="P39" s="216"/>
      <c r="R39" s="24"/>
      <c r="S39" s="24"/>
      <c r="T39" s="24">
        <f t="shared" ref="T39:T70" si="4">R39*F39</f>
        <v>0</v>
      </c>
      <c r="U39" s="22">
        <f t="shared" ref="U39:U70" si="5">S39*K39</f>
        <v>0</v>
      </c>
    </row>
    <row r="40" spans="2:21" x14ac:dyDescent="0.2">
      <c r="B40" s="73">
        <v>3.1</v>
      </c>
      <c r="C40" s="72" t="s">
        <v>32</v>
      </c>
      <c r="D40" s="26">
        <v>45</v>
      </c>
      <c r="E40" s="27">
        <v>0.95</v>
      </c>
      <c r="F40" s="27">
        <v>0.95</v>
      </c>
      <c r="G40" s="27">
        <v>0.95</v>
      </c>
      <c r="H40" s="27">
        <v>0.9</v>
      </c>
      <c r="I40" s="27">
        <v>0.6</v>
      </c>
      <c r="J40" s="27">
        <v>0.95</v>
      </c>
      <c r="K40" s="27">
        <v>0.95</v>
      </c>
      <c r="L40" s="27">
        <v>0.95</v>
      </c>
      <c r="M40" s="27">
        <v>0.9</v>
      </c>
      <c r="N40" s="27">
        <v>0.7</v>
      </c>
      <c r="O40" s="27">
        <v>1</v>
      </c>
      <c r="P40" s="26">
        <f t="shared" ref="P40:P51" si="6">M40*I40</f>
        <v>0.54</v>
      </c>
      <c r="R40" s="24">
        <v>45</v>
      </c>
      <c r="S40" s="24">
        <v>60</v>
      </c>
      <c r="T40" s="24">
        <f t="shared" si="4"/>
        <v>42.75</v>
      </c>
      <c r="U40" s="22">
        <f t="shared" si="5"/>
        <v>57</v>
      </c>
    </row>
    <row r="41" spans="2:21" x14ac:dyDescent="0.2">
      <c r="B41" s="73">
        <v>3.2</v>
      </c>
      <c r="C41" s="72" t="s">
        <v>33</v>
      </c>
      <c r="D41" s="26">
        <v>145</v>
      </c>
      <c r="E41" s="27">
        <v>0.7</v>
      </c>
      <c r="F41" s="27">
        <v>0.7</v>
      </c>
      <c r="G41" s="27">
        <v>0.6</v>
      </c>
      <c r="H41" s="27">
        <v>0.8</v>
      </c>
      <c r="I41" s="27">
        <v>0.8</v>
      </c>
      <c r="J41" s="27">
        <v>0.8</v>
      </c>
      <c r="K41" s="27">
        <v>0.8</v>
      </c>
      <c r="L41" s="27">
        <v>0.8</v>
      </c>
      <c r="M41" s="27">
        <v>0</v>
      </c>
      <c r="N41" s="27">
        <v>0</v>
      </c>
      <c r="O41" s="27">
        <v>1</v>
      </c>
      <c r="P41" s="26">
        <f t="shared" si="6"/>
        <v>0</v>
      </c>
      <c r="R41" s="24">
        <v>145</v>
      </c>
      <c r="S41" s="24">
        <v>20</v>
      </c>
      <c r="T41" s="24">
        <f t="shared" si="4"/>
        <v>101.5</v>
      </c>
      <c r="U41" s="22">
        <f t="shared" si="5"/>
        <v>16</v>
      </c>
    </row>
    <row r="42" spans="2:21" x14ac:dyDescent="0.2">
      <c r="B42" s="73">
        <v>3.3</v>
      </c>
      <c r="C42" s="72" t="s">
        <v>34</v>
      </c>
      <c r="D42" s="26">
        <v>542</v>
      </c>
      <c r="E42" s="27">
        <v>0.95</v>
      </c>
      <c r="F42" s="27">
        <v>0.95</v>
      </c>
      <c r="G42" s="27">
        <v>0.95</v>
      </c>
      <c r="H42" s="27">
        <v>0.95</v>
      </c>
      <c r="I42" s="27">
        <v>0.7</v>
      </c>
      <c r="J42" s="27">
        <v>0.95</v>
      </c>
      <c r="K42" s="27">
        <v>0.95</v>
      </c>
      <c r="L42" s="27">
        <v>0.95</v>
      </c>
      <c r="M42" s="27">
        <v>0.95</v>
      </c>
      <c r="N42" s="27">
        <v>0.95</v>
      </c>
      <c r="O42" s="27">
        <v>1</v>
      </c>
      <c r="P42" s="26">
        <f t="shared" si="6"/>
        <v>0.66499999999999992</v>
      </c>
      <c r="R42" s="24">
        <v>542</v>
      </c>
      <c r="S42" s="24">
        <v>5</v>
      </c>
      <c r="T42" s="24">
        <f t="shared" si="4"/>
        <v>514.9</v>
      </c>
      <c r="U42" s="22">
        <f t="shared" si="5"/>
        <v>4.75</v>
      </c>
    </row>
    <row r="43" spans="2:21" x14ac:dyDescent="0.2">
      <c r="B43" s="73">
        <v>3.4</v>
      </c>
      <c r="C43" s="72" t="s">
        <v>35</v>
      </c>
      <c r="D43" s="26">
        <v>530</v>
      </c>
      <c r="E43" s="27">
        <v>0.8</v>
      </c>
      <c r="F43" s="27">
        <v>0.9</v>
      </c>
      <c r="G43" s="27">
        <v>0.75</v>
      </c>
      <c r="H43" s="27">
        <v>0.55000000000000004</v>
      </c>
      <c r="I43" s="27">
        <v>0.4</v>
      </c>
      <c r="J43" s="27">
        <v>0.8</v>
      </c>
      <c r="K43" s="27">
        <v>0.9</v>
      </c>
      <c r="L43" s="27">
        <v>0.8</v>
      </c>
      <c r="M43" s="27">
        <v>0.55000000000000004</v>
      </c>
      <c r="N43" s="27">
        <v>0.55000000000000004</v>
      </c>
      <c r="O43" s="27">
        <v>1</v>
      </c>
      <c r="P43" s="26">
        <f t="shared" si="6"/>
        <v>0.22000000000000003</v>
      </c>
      <c r="R43" s="24">
        <v>530</v>
      </c>
      <c r="S43" s="24">
        <v>20</v>
      </c>
      <c r="T43" s="24">
        <f t="shared" si="4"/>
        <v>477</v>
      </c>
      <c r="U43" s="22">
        <f t="shared" si="5"/>
        <v>18</v>
      </c>
    </row>
    <row r="44" spans="2:21" x14ac:dyDescent="0.2">
      <c r="B44" s="73">
        <v>3.5</v>
      </c>
      <c r="C44" s="72" t="s">
        <v>36</v>
      </c>
      <c r="D44" s="26">
        <v>72</v>
      </c>
      <c r="E44" s="27">
        <v>0.9</v>
      </c>
      <c r="F44" s="27">
        <v>0.9</v>
      </c>
      <c r="G44" s="27">
        <v>0.9</v>
      </c>
      <c r="H44" s="27">
        <v>0.9</v>
      </c>
      <c r="I44" s="27">
        <v>0.5</v>
      </c>
      <c r="J44" s="27">
        <v>0.9</v>
      </c>
      <c r="K44" s="27">
        <v>0.9</v>
      </c>
      <c r="L44" s="27">
        <v>0.9</v>
      </c>
      <c r="M44" s="27">
        <v>0.9</v>
      </c>
      <c r="N44" s="27">
        <v>0.9</v>
      </c>
      <c r="O44" s="27">
        <v>1</v>
      </c>
      <c r="P44" s="26">
        <f t="shared" si="6"/>
        <v>0.45</v>
      </c>
      <c r="R44" s="24">
        <v>72</v>
      </c>
      <c r="S44" s="24">
        <v>10</v>
      </c>
      <c r="T44" s="24">
        <f t="shared" si="4"/>
        <v>64.8</v>
      </c>
      <c r="U44" s="22">
        <f t="shared" si="5"/>
        <v>9</v>
      </c>
    </row>
    <row r="45" spans="2:21" s="132" customFormat="1" hidden="1" x14ac:dyDescent="0.2">
      <c r="B45" s="131">
        <v>3.6</v>
      </c>
      <c r="C45" s="121" t="s">
        <v>37</v>
      </c>
      <c r="D45" s="122">
        <v>75</v>
      </c>
      <c r="E45" s="128"/>
      <c r="F45" s="128"/>
      <c r="G45" s="128">
        <v>0</v>
      </c>
      <c r="H45" s="128">
        <v>0</v>
      </c>
      <c r="I45" s="128">
        <v>0</v>
      </c>
      <c r="J45" s="128">
        <v>0</v>
      </c>
      <c r="K45" s="128"/>
      <c r="L45" s="128">
        <v>0</v>
      </c>
      <c r="M45" s="128">
        <v>0</v>
      </c>
      <c r="N45" s="128">
        <v>0</v>
      </c>
      <c r="O45" s="128">
        <v>1</v>
      </c>
      <c r="P45" s="122">
        <f t="shared" si="6"/>
        <v>0</v>
      </c>
      <c r="R45" s="133">
        <v>75</v>
      </c>
      <c r="S45" s="133">
        <v>10</v>
      </c>
      <c r="T45" s="24">
        <f t="shared" si="4"/>
        <v>0</v>
      </c>
      <c r="U45" s="22">
        <f t="shared" si="5"/>
        <v>0</v>
      </c>
    </row>
    <row r="46" spans="2:21" x14ac:dyDescent="0.2">
      <c r="B46" s="73">
        <v>3.8</v>
      </c>
      <c r="C46" s="72" t="s">
        <v>38</v>
      </c>
      <c r="D46" s="26">
        <v>715</v>
      </c>
      <c r="E46" s="27">
        <v>0.9</v>
      </c>
      <c r="F46" s="27">
        <v>0.9</v>
      </c>
      <c r="G46" s="27">
        <v>0.9</v>
      </c>
      <c r="H46" s="27">
        <v>0.9</v>
      </c>
      <c r="I46" s="27">
        <v>0.15</v>
      </c>
      <c r="J46" s="27">
        <v>0.9</v>
      </c>
      <c r="K46" s="27">
        <v>0.9</v>
      </c>
      <c r="L46" s="27">
        <v>0.9</v>
      </c>
      <c r="M46" s="27">
        <v>0.9</v>
      </c>
      <c r="N46" s="27">
        <v>0.15</v>
      </c>
      <c r="O46" s="27">
        <v>1</v>
      </c>
      <c r="P46" s="26">
        <f t="shared" si="6"/>
        <v>0.13500000000000001</v>
      </c>
      <c r="R46" s="24">
        <v>715</v>
      </c>
      <c r="S46" s="24">
        <v>0</v>
      </c>
      <c r="T46" s="24">
        <f t="shared" si="4"/>
        <v>643.5</v>
      </c>
      <c r="U46" s="22">
        <f t="shared" si="5"/>
        <v>0</v>
      </c>
    </row>
    <row r="47" spans="2:21" x14ac:dyDescent="0.2">
      <c r="B47" s="73">
        <v>3.9</v>
      </c>
      <c r="C47" s="72" t="s">
        <v>39</v>
      </c>
      <c r="D47" s="26">
        <v>265</v>
      </c>
      <c r="E47" s="27">
        <v>0.9</v>
      </c>
      <c r="F47" s="27">
        <v>0.9</v>
      </c>
      <c r="G47" s="27">
        <v>0.9</v>
      </c>
      <c r="H47" s="27">
        <v>0.8</v>
      </c>
      <c r="I47" s="27">
        <v>0.8</v>
      </c>
      <c r="J47" s="27">
        <v>0.9</v>
      </c>
      <c r="K47" s="27">
        <v>0.9</v>
      </c>
      <c r="L47" s="27">
        <v>0.9</v>
      </c>
      <c r="M47" s="27">
        <v>0.8</v>
      </c>
      <c r="N47" s="27">
        <v>0.8</v>
      </c>
      <c r="O47" s="27">
        <v>1</v>
      </c>
      <c r="P47" s="26">
        <f t="shared" si="6"/>
        <v>0.64000000000000012</v>
      </c>
      <c r="R47" s="24">
        <v>265</v>
      </c>
      <c r="S47" s="24">
        <v>5</v>
      </c>
      <c r="T47" s="24">
        <f t="shared" si="4"/>
        <v>238.5</v>
      </c>
      <c r="U47" s="22">
        <f t="shared" si="5"/>
        <v>4.5</v>
      </c>
    </row>
    <row r="48" spans="2:21" x14ac:dyDescent="0.2">
      <c r="B48" s="73">
        <v>3.1</v>
      </c>
      <c r="C48" s="72" t="s">
        <v>40</v>
      </c>
      <c r="D48" s="26">
        <v>35</v>
      </c>
      <c r="E48" s="27">
        <v>0.8</v>
      </c>
      <c r="F48" s="27">
        <v>0.9</v>
      </c>
      <c r="G48" s="27">
        <v>0.8</v>
      </c>
      <c r="H48" s="27">
        <v>0.8</v>
      </c>
      <c r="I48" s="27">
        <v>0</v>
      </c>
      <c r="J48" s="27">
        <v>0.4</v>
      </c>
      <c r="K48" s="27">
        <v>0.9</v>
      </c>
      <c r="L48" s="27">
        <v>0.4</v>
      </c>
      <c r="M48" s="27">
        <v>0</v>
      </c>
      <c r="N48" s="27">
        <v>0</v>
      </c>
      <c r="O48" s="27">
        <v>1</v>
      </c>
      <c r="P48" s="26">
        <f t="shared" si="6"/>
        <v>0</v>
      </c>
      <c r="R48" s="24">
        <v>35</v>
      </c>
      <c r="S48" s="24">
        <v>25</v>
      </c>
      <c r="T48" s="24">
        <f t="shared" si="4"/>
        <v>31.5</v>
      </c>
      <c r="U48" s="22">
        <f t="shared" si="5"/>
        <v>22.5</v>
      </c>
    </row>
    <row r="49" spans="2:21" x14ac:dyDescent="0.2">
      <c r="B49" s="73">
        <v>3.11</v>
      </c>
      <c r="C49" s="121" t="s">
        <v>41</v>
      </c>
      <c r="D49" s="122">
        <v>250</v>
      </c>
      <c r="E49" s="128">
        <v>0.6</v>
      </c>
      <c r="F49" s="128">
        <v>0.85</v>
      </c>
      <c r="G49" s="128">
        <v>0.35</v>
      </c>
      <c r="H49" s="128">
        <v>0</v>
      </c>
      <c r="I49" s="128">
        <v>0</v>
      </c>
      <c r="J49" s="128">
        <v>0.4</v>
      </c>
      <c r="K49" s="128">
        <v>0.8</v>
      </c>
      <c r="L49" s="128">
        <v>0.4</v>
      </c>
      <c r="M49" s="128">
        <v>0</v>
      </c>
      <c r="N49" s="128">
        <v>0</v>
      </c>
      <c r="O49" s="128">
        <v>1</v>
      </c>
      <c r="P49" s="26">
        <f t="shared" si="6"/>
        <v>0</v>
      </c>
      <c r="R49" s="24">
        <v>250</v>
      </c>
      <c r="S49" s="24">
        <v>0</v>
      </c>
      <c r="T49" s="24">
        <f t="shared" si="4"/>
        <v>212.5</v>
      </c>
      <c r="U49" s="22">
        <f t="shared" si="5"/>
        <v>0</v>
      </c>
    </row>
    <row r="50" spans="2:21" x14ac:dyDescent="0.2">
      <c r="B50" s="73">
        <v>3.12</v>
      </c>
      <c r="C50" s="72" t="s">
        <v>42</v>
      </c>
      <c r="D50" s="26">
        <v>130</v>
      </c>
      <c r="E50" s="27">
        <v>0</v>
      </c>
      <c r="F50" s="27">
        <v>0.2</v>
      </c>
      <c r="G50" s="27">
        <v>0</v>
      </c>
      <c r="H50" s="27">
        <v>0</v>
      </c>
      <c r="I50" s="27">
        <v>0</v>
      </c>
      <c r="J50" s="27">
        <v>0</v>
      </c>
      <c r="K50" s="27">
        <v>0.2</v>
      </c>
      <c r="L50" s="27">
        <v>0</v>
      </c>
      <c r="M50" s="27">
        <v>0</v>
      </c>
      <c r="N50" s="27">
        <v>0</v>
      </c>
      <c r="O50" s="27">
        <v>1</v>
      </c>
      <c r="P50" s="26">
        <f t="shared" si="6"/>
        <v>0</v>
      </c>
      <c r="R50" s="24">
        <v>130</v>
      </c>
      <c r="S50" s="24">
        <v>20</v>
      </c>
      <c r="T50" s="24">
        <f t="shared" si="4"/>
        <v>26</v>
      </c>
      <c r="U50" s="22">
        <f t="shared" si="5"/>
        <v>4</v>
      </c>
    </row>
    <row r="51" spans="2:21" x14ac:dyDescent="0.2">
      <c r="B51" s="73">
        <v>3.13</v>
      </c>
      <c r="C51" s="72" t="s">
        <v>43</v>
      </c>
      <c r="D51" s="26">
        <v>60</v>
      </c>
      <c r="E51" s="27">
        <v>0.4</v>
      </c>
      <c r="F51" s="27">
        <v>0.5</v>
      </c>
      <c r="G51" s="27">
        <v>0.3</v>
      </c>
      <c r="H51" s="27">
        <v>0.2</v>
      </c>
      <c r="I51" s="27">
        <v>0.2</v>
      </c>
      <c r="J51" s="27">
        <v>0.4</v>
      </c>
      <c r="K51" s="27">
        <v>0.5</v>
      </c>
      <c r="L51" s="27">
        <v>0.3</v>
      </c>
      <c r="M51" s="27">
        <v>0.2</v>
      </c>
      <c r="N51" s="27">
        <v>0.2</v>
      </c>
      <c r="O51" s="27">
        <v>1</v>
      </c>
      <c r="P51" s="27">
        <f t="shared" si="6"/>
        <v>4.0000000000000008E-2</v>
      </c>
      <c r="R51" s="24">
        <v>60</v>
      </c>
      <c r="S51" s="24"/>
      <c r="T51" s="24">
        <f t="shared" si="4"/>
        <v>30</v>
      </c>
      <c r="U51" s="22">
        <f t="shared" si="5"/>
        <v>0</v>
      </c>
    </row>
    <row r="52" spans="2:21" s="30" customFormat="1" ht="15" hidden="1" customHeight="1" x14ac:dyDescent="0.25">
      <c r="B52" s="92"/>
      <c r="C52" s="93" t="s">
        <v>44</v>
      </c>
      <c r="D52" s="94">
        <v>2864</v>
      </c>
      <c r="E52" s="96"/>
      <c r="F52" s="96"/>
      <c r="G52" s="96"/>
      <c r="H52" s="96">
        <v>0.56666666666666676</v>
      </c>
      <c r="I52" s="96">
        <v>175</v>
      </c>
      <c r="J52" s="96"/>
      <c r="K52" s="96"/>
      <c r="L52" s="96"/>
      <c r="M52" s="96">
        <v>0.43333333333333335</v>
      </c>
      <c r="N52" s="96">
        <v>4.25</v>
      </c>
      <c r="O52" s="96">
        <v>1</v>
      </c>
      <c r="P52" s="94">
        <f>SUM(P40:P51)</f>
        <v>2.69</v>
      </c>
      <c r="R52" s="23"/>
      <c r="S52" s="23"/>
      <c r="T52" s="24">
        <f t="shared" si="4"/>
        <v>0</v>
      </c>
      <c r="U52" s="22">
        <f t="shared" si="5"/>
        <v>0</v>
      </c>
    </row>
    <row r="53" spans="2:21" ht="15" customHeight="1" x14ac:dyDescent="0.2">
      <c r="B53" s="88">
        <v>4</v>
      </c>
      <c r="C53" s="214" t="s">
        <v>45</v>
      </c>
      <c r="D53" s="215"/>
      <c r="E53" s="215"/>
      <c r="F53" s="215"/>
      <c r="G53" s="215"/>
      <c r="H53" s="215"/>
      <c r="I53" s="215"/>
      <c r="J53" s="215"/>
      <c r="K53" s="215"/>
      <c r="L53" s="215"/>
      <c r="M53" s="215"/>
      <c r="N53" s="215"/>
      <c r="O53" s="215"/>
      <c r="P53" s="24"/>
      <c r="R53" s="24"/>
      <c r="S53" s="24"/>
      <c r="T53" s="24">
        <f t="shared" si="4"/>
        <v>0</v>
      </c>
      <c r="U53" s="22">
        <f t="shared" si="5"/>
        <v>0</v>
      </c>
    </row>
    <row r="54" spans="2:21" x14ac:dyDescent="0.2">
      <c r="B54" s="73">
        <v>4.0999999999999996</v>
      </c>
      <c r="C54" s="72" t="s">
        <v>46</v>
      </c>
      <c r="D54" s="26">
        <v>210</v>
      </c>
      <c r="E54" s="27">
        <v>0.9</v>
      </c>
      <c r="F54" s="27">
        <v>0.95</v>
      </c>
      <c r="G54" s="27">
        <v>0.9</v>
      </c>
      <c r="H54" s="27">
        <v>0.9</v>
      </c>
      <c r="I54" s="27">
        <v>0.7</v>
      </c>
      <c r="J54" s="27">
        <v>0.9</v>
      </c>
      <c r="K54" s="27">
        <v>0.95</v>
      </c>
      <c r="L54" s="27">
        <v>0.9</v>
      </c>
      <c r="M54" s="27">
        <v>0.9</v>
      </c>
      <c r="N54" s="27">
        <v>0.9</v>
      </c>
      <c r="O54" s="27">
        <v>1</v>
      </c>
      <c r="P54" s="26">
        <f t="shared" ref="P54:P59" si="7">M54*I54</f>
        <v>0.63</v>
      </c>
      <c r="R54" s="24">
        <v>210</v>
      </c>
      <c r="S54" s="24"/>
      <c r="T54" s="24">
        <f t="shared" si="4"/>
        <v>199.5</v>
      </c>
      <c r="U54" s="22">
        <f t="shared" si="5"/>
        <v>0</v>
      </c>
    </row>
    <row r="55" spans="2:21" x14ac:dyDescent="0.2">
      <c r="B55" s="73">
        <v>4.2</v>
      </c>
      <c r="C55" s="72" t="s">
        <v>48</v>
      </c>
      <c r="D55" s="26">
        <v>30</v>
      </c>
      <c r="E55" s="27">
        <v>0.95</v>
      </c>
      <c r="F55" s="27">
        <v>0.95</v>
      </c>
      <c r="G55" s="27">
        <v>0.95</v>
      </c>
      <c r="H55" s="27">
        <v>0.9</v>
      </c>
      <c r="I55" s="27">
        <v>0.75</v>
      </c>
      <c r="J55" s="27">
        <v>0.95</v>
      </c>
      <c r="K55" s="27">
        <v>0.95</v>
      </c>
      <c r="L55" s="27">
        <v>0.9</v>
      </c>
      <c r="M55" s="27">
        <v>0.9</v>
      </c>
      <c r="N55" s="27">
        <v>0.9</v>
      </c>
      <c r="O55" s="27">
        <v>1</v>
      </c>
      <c r="P55" s="26">
        <f t="shared" si="7"/>
        <v>0.67500000000000004</v>
      </c>
      <c r="R55" s="24">
        <v>30</v>
      </c>
      <c r="S55" s="24"/>
      <c r="T55" s="24">
        <f t="shared" si="4"/>
        <v>28.5</v>
      </c>
      <c r="U55" s="22">
        <f t="shared" si="5"/>
        <v>0</v>
      </c>
    </row>
    <row r="56" spans="2:21" x14ac:dyDescent="0.2">
      <c r="B56" s="73">
        <v>4.3</v>
      </c>
      <c r="C56" s="72" t="s">
        <v>49</v>
      </c>
      <c r="D56" s="26">
        <v>45</v>
      </c>
      <c r="E56" s="27">
        <v>0</v>
      </c>
      <c r="F56" s="27">
        <v>0.8</v>
      </c>
      <c r="G56" s="27">
        <v>0</v>
      </c>
      <c r="H56" s="27">
        <v>0</v>
      </c>
      <c r="I56" s="27">
        <v>0</v>
      </c>
      <c r="J56" s="27">
        <v>0</v>
      </c>
      <c r="K56" s="27">
        <v>0.9</v>
      </c>
      <c r="L56" s="27">
        <v>0</v>
      </c>
      <c r="M56" s="27">
        <v>0</v>
      </c>
      <c r="N56" s="27">
        <v>0</v>
      </c>
      <c r="O56" s="27">
        <v>1</v>
      </c>
      <c r="P56" s="26">
        <f t="shared" si="7"/>
        <v>0</v>
      </c>
      <c r="R56" s="24">
        <v>45</v>
      </c>
      <c r="S56" s="24"/>
      <c r="T56" s="24">
        <f t="shared" si="4"/>
        <v>36</v>
      </c>
      <c r="U56" s="22">
        <f t="shared" si="5"/>
        <v>0</v>
      </c>
    </row>
    <row r="57" spans="2:21" x14ac:dyDescent="0.2">
      <c r="B57" s="73">
        <v>4.4000000000000004</v>
      </c>
      <c r="C57" s="72" t="s">
        <v>50</v>
      </c>
      <c r="D57" s="26">
        <v>95</v>
      </c>
      <c r="E57" s="27">
        <v>0.9</v>
      </c>
      <c r="F57" s="27">
        <v>0.95</v>
      </c>
      <c r="G57" s="27">
        <v>0.9</v>
      </c>
      <c r="H57" s="27">
        <v>0.9</v>
      </c>
      <c r="I57" s="27">
        <v>0</v>
      </c>
      <c r="J57" s="27">
        <v>0.9</v>
      </c>
      <c r="K57" s="27">
        <v>0.95</v>
      </c>
      <c r="L57" s="27">
        <v>0.9</v>
      </c>
      <c r="M57" s="27">
        <v>0.9</v>
      </c>
      <c r="N57" s="27">
        <v>0</v>
      </c>
      <c r="O57" s="27">
        <v>1</v>
      </c>
      <c r="P57" s="26">
        <f t="shared" si="7"/>
        <v>0</v>
      </c>
      <c r="R57" s="24">
        <v>95</v>
      </c>
      <c r="S57" s="24"/>
      <c r="T57" s="24">
        <f t="shared" si="4"/>
        <v>90.25</v>
      </c>
      <c r="U57" s="22">
        <f t="shared" si="5"/>
        <v>0</v>
      </c>
    </row>
    <row r="58" spans="2:21" x14ac:dyDescent="0.2">
      <c r="B58" s="73">
        <v>4.5</v>
      </c>
      <c r="C58" s="72" t="s">
        <v>51</v>
      </c>
      <c r="D58" s="26">
        <v>35</v>
      </c>
      <c r="E58" s="27">
        <v>0.95</v>
      </c>
      <c r="F58" s="27">
        <v>0.95</v>
      </c>
      <c r="G58" s="27">
        <v>0.9</v>
      </c>
      <c r="H58" s="27">
        <v>0</v>
      </c>
      <c r="I58" s="27">
        <v>0</v>
      </c>
      <c r="J58" s="27">
        <v>0.95</v>
      </c>
      <c r="K58" s="27">
        <v>0.95</v>
      </c>
      <c r="L58" s="27">
        <v>0.9</v>
      </c>
      <c r="M58" s="27">
        <v>0</v>
      </c>
      <c r="N58" s="27">
        <v>0</v>
      </c>
      <c r="O58" s="27">
        <v>1</v>
      </c>
      <c r="P58" s="26">
        <f t="shared" si="7"/>
        <v>0</v>
      </c>
      <c r="R58" s="24">
        <v>35</v>
      </c>
      <c r="S58" s="24"/>
      <c r="T58" s="24">
        <f t="shared" si="4"/>
        <v>33.25</v>
      </c>
      <c r="U58" s="22">
        <f t="shared" si="5"/>
        <v>0</v>
      </c>
    </row>
    <row r="59" spans="2:21" x14ac:dyDescent="0.2">
      <c r="B59" s="73">
        <v>4.5999999999999996</v>
      </c>
      <c r="C59" s="72" t="s">
        <v>52</v>
      </c>
      <c r="D59" s="26">
        <v>40</v>
      </c>
      <c r="E59" s="27">
        <v>0</v>
      </c>
      <c r="F59" s="27">
        <v>0</v>
      </c>
      <c r="G59" s="27">
        <v>0</v>
      </c>
      <c r="H59" s="27">
        <v>0</v>
      </c>
      <c r="I59" s="27">
        <v>0</v>
      </c>
      <c r="J59" s="27">
        <v>0.1</v>
      </c>
      <c r="K59" s="27">
        <v>0.1</v>
      </c>
      <c r="L59" s="27">
        <v>0.1</v>
      </c>
      <c r="M59" s="27">
        <v>0</v>
      </c>
      <c r="N59" s="27">
        <v>0</v>
      </c>
      <c r="O59" s="27">
        <v>1</v>
      </c>
      <c r="P59" s="26">
        <f t="shared" si="7"/>
        <v>0</v>
      </c>
      <c r="R59" s="24">
        <v>40</v>
      </c>
      <c r="S59" s="24"/>
      <c r="T59" s="24">
        <f t="shared" si="4"/>
        <v>0</v>
      </c>
      <c r="U59" s="22">
        <f t="shared" si="5"/>
        <v>0</v>
      </c>
    </row>
    <row r="60" spans="2:21" s="30" customFormat="1" ht="15" hidden="1" customHeight="1" x14ac:dyDescent="0.25">
      <c r="B60" s="92"/>
      <c r="C60" s="93" t="s">
        <v>53</v>
      </c>
      <c r="D60" s="94">
        <v>455</v>
      </c>
      <c r="E60" s="96"/>
      <c r="F60" s="96"/>
      <c r="G60" s="96"/>
      <c r="H60" s="96">
        <v>0.45</v>
      </c>
      <c r="I60" s="96">
        <v>0</v>
      </c>
      <c r="J60" s="96"/>
      <c r="K60" s="96"/>
      <c r="L60" s="96"/>
      <c r="M60" s="96">
        <v>0</v>
      </c>
      <c r="N60" s="96">
        <v>1.8</v>
      </c>
      <c r="O60" s="96">
        <v>1</v>
      </c>
      <c r="P60" s="94">
        <f>SUM(P54:P59)</f>
        <v>1.3050000000000002</v>
      </c>
      <c r="R60" s="23"/>
      <c r="S60" s="23"/>
      <c r="T60" s="24">
        <f t="shared" si="4"/>
        <v>0</v>
      </c>
      <c r="U60" s="22">
        <f t="shared" si="5"/>
        <v>0</v>
      </c>
    </row>
    <row r="61" spans="2:21" s="30" customFormat="1" ht="15" x14ac:dyDescent="0.25">
      <c r="B61" s="50"/>
      <c r="C61" s="79"/>
      <c r="D61" s="28"/>
      <c r="E61" s="27"/>
      <c r="F61" s="27"/>
      <c r="G61" s="27"/>
      <c r="H61" s="27"/>
      <c r="I61" s="27"/>
      <c r="J61" s="27"/>
      <c r="K61" s="27"/>
      <c r="L61" s="27"/>
      <c r="M61" s="27"/>
      <c r="N61" s="27">
        <v>1.8</v>
      </c>
      <c r="O61" s="27">
        <v>1</v>
      </c>
      <c r="P61" s="129"/>
      <c r="R61" s="23"/>
      <c r="S61" s="23"/>
      <c r="T61" s="24">
        <f t="shared" si="4"/>
        <v>0</v>
      </c>
      <c r="U61" s="22">
        <f t="shared" si="5"/>
        <v>0</v>
      </c>
    </row>
    <row r="62" spans="2:21" s="30" customFormat="1" ht="15" x14ac:dyDescent="0.25">
      <c r="B62" s="89">
        <v>5</v>
      </c>
      <c r="C62" s="214" t="s">
        <v>54</v>
      </c>
      <c r="D62" s="215"/>
      <c r="E62" s="215"/>
      <c r="F62" s="215"/>
      <c r="G62" s="215"/>
      <c r="H62" s="215"/>
      <c r="I62" s="215"/>
      <c r="J62" s="215"/>
      <c r="K62" s="215"/>
      <c r="L62" s="215"/>
      <c r="M62" s="215"/>
      <c r="N62" s="215"/>
      <c r="O62" s="215"/>
      <c r="P62" s="91"/>
      <c r="R62" s="23"/>
      <c r="S62" s="23"/>
      <c r="T62" s="24">
        <f t="shared" si="4"/>
        <v>0</v>
      </c>
      <c r="U62" s="22">
        <f t="shared" si="5"/>
        <v>0</v>
      </c>
    </row>
    <row r="63" spans="2:21" x14ac:dyDescent="0.2">
      <c r="B63" s="73">
        <v>5.0999999999999996</v>
      </c>
      <c r="C63" s="72" t="s">
        <v>55</v>
      </c>
      <c r="D63" s="26">
        <v>217</v>
      </c>
      <c r="E63" s="27">
        <v>0.2</v>
      </c>
      <c r="F63" s="27">
        <v>0.2</v>
      </c>
      <c r="G63" s="27">
        <v>0</v>
      </c>
      <c r="H63" s="27">
        <v>0.5</v>
      </c>
      <c r="I63" s="27">
        <v>0.5</v>
      </c>
      <c r="J63" s="27">
        <v>0.4</v>
      </c>
      <c r="K63" s="27">
        <v>0.4</v>
      </c>
      <c r="L63" s="27">
        <v>0</v>
      </c>
      <c r="M63" s="27">
        <v>0</v>
      </c>
      <c r="N63" s="27">
        <v>0</v>
      </c>
      <c r="O63" s="27">
        <v>1</v>
      </c>
      <c r="P63" s="26">
        <f>M63*I63</f>
        <v>0</v>
      </c>
      <c r="R63" s="24">
        <v>217</v>
      </c>
      <c r="S63" s="24"/>
      <c r="T63" s="24">
        <f t="shared" si="4"/>
        <v>43.400000000000006</v>
      </c>
      <c r="U63" s="22">
        <f t="shared" si="5"/>
        <v>0</v>
      </c>
    </row>
    <row r="64" spans="2:21" x14ac:dyDescent="0.2">
      <c r="B64" s="73">
        <v>5.2</v>
      </c>
      <c r="C64" s="72" t="s">
        <v>56</v>
      </c>
      <c r="D64" s="26">
        <v>35</v>
      </c>
      <c r="E64" s="27">
        <v>0.5</v>
      </c>
      <c r="F64" s="27">
        <v>0.9</v>
      </c>
      <c r="G64" s="27">
        <v>0.1</v>
      </c>
      <c r="H64" s="27">
        <v>0.7</v>
      </c>
      <c r="I64" s="27">
        <v>0.7</v>
      </c>
      <c r="J64" s="27">
        <v>0.7</v>
      </c>
      <c r="K64" s="27">
        <v>0.95</v>
      </c>
      <c r="L64" s="27">
        <v>0</v>
      </c>
      <c r="M64" s="27">
        <v>0</v>
      </c>
      <c r="N64" s="27">
        <v>0</v>
      </c>
      <c r="O64" s="27">
        <v>1</v>
      </c>
      <c r="P64" s="26">
        <f>M64*I64</f>
        <v>0</v>
      </c>
      <c r="R64" s="24">
        <v>35</v>
      </c>
      <c r="S64" s="24"/>
      <c r="T64" s="24">
        <f t="shared" si="4"/>
        <v>31.5</v>
      </c>
      <c r="U64" s="22">
        <f t="shared" si="5"/>
        <v>0</v>
      </c>
    </row>
    <row r="65" spans="2:23" x14ac:dyDescent="0.2">
      <c r="B65" s="73">
        <v>5.3</v>
      </c>
      <c r="C65" s="72" t="s">
        <v>57</v>
      </c>
      <c r="D65" s="26">
        <v>40</v>
      </c>
      <c r="E65" s="27">
        <v>0</v>
      </c>
      <c r="F65" s="27">
        <v>0</v>
      </c>
      <c r="G65" s="27">
        <v>0</v>
      </c>
      <c r="H65" s="27">
        <v>0</v>
      </c>
      <c r="I65" s="27">
        <v>0</v>
      </c>
      <c r="J65" s="27">
        <v>0</v>
      </c>
      <c r="K65" s="27">
        <v>0</v>
      </c>
      <c r="L65" s="27">
        <v>0</v>
      </c>
      <c r="M65" s="27">
        <v>0</v>
      </c>
      <c r="N65" s="27">
        <v>0</v>
      </c>
      <c r="O65" s="27">
        <v>1</v>
      </c>
      <c r="P65" s="26">
        <f>M65*I65</f>
        <v>0</v>
      </c>
      <c r="R65" s="24">
        <v>40</v>
      </c>
      <c r="S65" s="24"/>
      <c r="T65" s="24">
        <f t="shared" si="4"/>
        <v>0</v>
      </c>
      <c r="U65" s="22">
        <f t="shared" si="5"/>
        <v>0</v>
      </c>
    </row>
    <row r="66" spans="2:23" x14ac:dyDescent="0.2">
      <c r="B66" s="73">
        <v>5.4</v>
      </c>
      <c r="C66" s="72" t="s">
        <v>645</v>
      </c>
      <c r="D66" s="26">
        <v>0</v>
      </c>
      <c r="E66" s="27">
        <v>0</v>
      </c>
      <c r="F66" s="27">
        <v>0</v>
      </c>
      <c r="G66" s="27">
        <v>0</v>
      </c>
      <c r="H66" s="27">
        <v>0</v>
      </c>
      <c r="I66" s="27">
        <v>0</v>
      </c>
      <c r="J66" s="27">
        <v>0</v>
      </c>
      <c r="K66" s="27">
        <v>0</v>
      </c>
      <c r="L66" s="27">
        <v>0</v>
      </c>
      <c r="M66" s="27">
        <v>0</v>
      </c>
      <c r="N66" s="27">
        <v>0</v>
      </c>
      <c r="O66" s="27">
        <v>1</v>
      </c>
      <c r="P66" s="26">
        <f>M66*I66</f>
        <v>0</v>
      </c>
      <c r="R66" s="24"/>
      <c r="S66" s="24"/>
      <c r="T66" s="24">
        <f t="shared" si="4"/>
        <v>0</v>
      </c>
      <c r="U66" s="22">
        <f t="shared" si="5"/>
        <v>0</v>
      </c>
    </row>
    <row r="67" spans="2:23" s="30" customFormat="1" ht="15" hidden="1" customHeight="1" x14ac:dyDescent="0.25">
      <c r="B67" s="92"/>
      <c r="C67" s="93" t="s">
        <v>58</v>
      </c>
      <c r="D67" s="94">
        <v>292</v>
      </c>
      <c r="E67" s="96"/>
      <c r="F67" s="96"/>
      <c r="G67" s="96"/>
      <c r="H67" s="96">
        <v>0</v>
      </c>
      <c r="I67" s="96">
        <v>5</v>
      </c>
      <c r="J67" s="96"/>
      <c r="K67" s="96"/>
      <c r="L67" s="96"/>
      <c r="M67" s="96">
        <v>0</v>
      </c>
      <c r="N67" s="96">
        <v>0</v>
      </c>
      <c r="O67" s="96">
        <v>1</v>
      </c>
      <c r="P67" s="94">
        <f>M67*I67</f>
        <v>0</v>
      </c>
      <c r="R67" s="23"/>
      <c r="S67" s="23"/>
      <c r="T67" s="24">
        <f t="shared" si="4"/>
        <v>0</v>
      </c>
      <c r="U67" s="22">
        <f t="shared" si="5"/>
        <v>0</v>
      </c>
    </row>
    <row r="68" spans="2:23" ht="15" x14ac:dyDescent="0.25">
      <c r="B68" s="73"/>
      <c r="C68" s="79"/>
      <c r="D68" s="28"/>
      <c r="E68" s="27"/>
      <c r="F68" s="27"/>
      <c r="G68" s="27"/>
      <c r="H68" s="27"/>
      <c r="I68" s="27"/>
      <c r="J68" s="27"/>
      <c r="K68" s="27"/>
      <c r="L68" s="27"/>
      <c r="M68" s="27"/>
      <c r="N68" s="27">
        <v>0</v>
      </c>
      <c r="O68" s="27">
        <v>1</v>
      </c>
      <c r="P68" s="129"/>
      <c r="R68" s="24"/>
      <c r="S68" s="24"/>
      <c r="T68" s="24">
        <f t="shared" si="4"/>
        <v>0</v>
      </c>
      <c r="U68" s="22">
        <f t="shared" si="5"/>
        <v>0</v>
      </c>
    </row>
    <row r="69" spans="2:23" s="30" customFormat="1" ht="15" x14ac:dyDescent="0.25">
      <c r="B69" s="89">
        <v>7</v>
      </c>
      <c r="C69" s="214" t="s">
        <v>60</v>
      </c>
      <c r="D69" s="215"/>
      <c r="E69" s="215"/>
      <c r="F69" s="215"/>
      <c r="G69" s="215"/>
      <c r="H69" s="215"/>
      <c r="I69" s="215"/>
      <c r="J69" s="215"/>
      <c r="K69" s="215"/>
      <c r="L69" s="215"/>
      <c r="M69" s="215"/>
      <c r="N69" s="215"/>
      <c r="O69" s="215"/>
      <c r="P69" s="91"/>
      <c r="R69" s="23"/>
      <c r="S69" s="23"/>
      <c r="T69" s="24">
        <f t="shared" si="4"/>
        <v>0</v>
      </c>
      <c r="U69" s="22">
        <f t="shared" si="5"/>
        <v>0</v>
      </c>
    </row>
    <row r="70" spans="2:23" ht="14.25" customHeight="1" x14ac:dyDescent="0.2">
      <c r="B70" s="73">
        <v>7.1</v>
      </c>
      <c r="C70" s="72" t="s">
        <v>61</v>
      </c>
      <c r="D70" s="26">
        <v>65</v>
      </c>
      <c r="E70" s="27">
        <v>0</v>
      </c>
      <c r="F70" s="27">
        <v>0</v>
      </c>
      <c r="G70" s="27">
        <v>0</v>
      </c>
      <c r="H70" s="27">
        <v>0</v>
      </c>
      <c r="I70" s="27">
        <v>0</v>
      </c>
      <c r="J70" s="27">
        <v>0</v>
      </c>
      <c r="K70" s="27">
        <v>0</v>
      </c>
      <c r="L70" s="27">
        <v>0</v>
      </c>
      <c r="M70" s="27">
        <v>0</v>
      </c>
      <c r="N70" s="27">
        <v>0</v>
      </c>
      <c r="O70" s="27">
        <v>1</v>
      </c>
      <c r="P70" s="26">
        <f t="shared" ref="P70:P85" si="8">I70*M70</f>
        <v>0</v>
      </c>
      <c r="R70" s="24">
        <v>65</v>
      </c>
      <c r="S70" s="24"/>
      <c r="T70" s="24">
        <f t="shared" si="4"/>
        <v>0</v>
      </c>
      <c r="U70" s="22">
        <f t="shared" si="5"/>
        <v>0</v>
      </c>
      <c r="W70" s="22">
        <v>255</v>
      </c>
    </row>
    <row r="71" spans="2:23" x14ac:dyDescent="0.2">
      <c r="B71" s="73">
        <v>7.2</v>
      </c>
      <c r="C71" s="72" t="s">
        <v>62</v>
      </c>
      <c r="D71" s="26">
        <v>110</v>
      </c>
      <c r="E71" s="27">
        <v>0</v>
      </c>
      <c r="F71" s="27">
        <v>0</v>
      </c>
      <c r="G71" s="27">
        <v>0</v>
      </c>
      <c r="H71" s="27">
        <v>0</v>
      </c>
      <c r="I71" s="27">
        <v>0</v>
      </c>
      <c r="J71" s="27">
        <v>0</v>
      </c>
      <c r="K71" s="27">
        <v>0</v>
      </c>
      <c r="L71" s="27">
        <v>0</v>
      </c>
      <c r="M71" s="27">
        <v>0</v>
      </c>
      <c r="N71" s="27">
        <v>0</v>
      </c>
      <c r="O71" s="27">
        <v>1</v>
      </c>
      <c r="P71" s="26">
        <f t="shared" si="8"/>
        <v>0</v>
      </c>
      <c r="R71" s="24">
        <v>110</v>
      </c>
      <c r="S71" s="24"/>
      <c r="T71" s="24">
        <f t="shared" ref="T71:T85" si="9">R71*F71</f>
        <v>0</v>
      </c>
      <c r="U71" s="22">
        <f t="shared" ref="U71:U85" si="10">S71*K71</f>
        <v>0</v>
      </c>
      <c r="W71" s="22">
        <f>V70/W70</f>
        <v>0</v>
      </c>
    </row>
    <row r="72" spans="2:23" x14ac:dyDescent="0.2">
      <c r="B72" s="73">
        <v>7.3</v>
      </c>
      <c r="C72" s="72" t="s">
        <v>63</v>
      </c>
      <c r="D72" s="26">
        <v>325</v>
      </c>
      <c r="E72" s="27">
        <v>0</v>
      </c>
      <c r="F72" s="27">
        <v>0</v>
      </c>
      <c r="G72" s="27">
        <v>0</v>
      </c>
      <c r="H72" s="27">
        <v>0</v>
      </c>
      <c r="I72" s="27">
        <v>0</v>
      </c>
      <c r="J72" s="27">
        <v>0</v>
      </c>
      <c r="K72" s="27">
        <v>0</v>
      </c>
      <c r="L72" s="27">
        <v>0</v>
      </c>
      <c r="M72" s="27">
        <v>0</v>
      </c>
      <c r="N72" s="27">
        <v>0</v>
      </c>
      <c r="O72" s="27">
        <v>1</v>
      </c>
      <c r="P72" s="26">
        <f t="shared" si="8"/>
        <v>0</v>
      </c>
      <c r="R72" s="24">
        <v>325</v>
      </c>
      <c r="S72" s="24"/>
      <c r="T72" s="24">
        <f t="shared" si="9"/>
        <v>0</v>
      </c>
      <c r="U72" s="22">
        <f t="shared" si="10"/>
        <v>0</v>
      </c>
    </row>
    <row r="73" spans="2:23" x14ac:dyDescent="0.2">
      <c r="B73" s="73">
        <v>7.4</v>
      </c>
      <c r="C73" s="72" t="s">
        <v>64</v>
      </c>
      <c r="D73" s="26">
        <v>475</v>
      </c>
      <c r="E73" s="27">
        <v>0</v>
      </c>
      <c r="F73" s="27">
        <v>0</v>
      </c>
      <c r="G73" s="27">
        <v>0</v>
      </c>
      <c r="H73" s="27">
        <v>0</v>
      </c>
      <c r="I73" s="27">
        <v>0</v>
      </c>
      <c r="J73" s="27">
        <v>0</v>
      </c>
      <c r="K73" s="27">
        <v>0</v>
      </c>
      <c r="L73" s="27">
        <v>0</v>
      </c>
      <c r="M73" s="27">
        <v>0</v>
      </c>
      <c r="N73" s="27">
        <v>0</v>
      </c>
      <c r="O73" s="27">
        <v>1</v>
      </c>
      <c r="P73" s="26">
        <f t="shared" si="8"/>
        <v>0</v>
      </c>
      <c r="R73" s="24">
        <v>475</v>
      </c>
      <c r="S73" s="24"/>
      <c r="T73" s="24">
        <f t="shared" si="9"/>
        <v>0</v>
      </c>
      <c r="U73" s="22">
        <f t="shared" si="10"/>
        <v>0</v>
      </c>
    </row>
    <row r="74" spans="2:23" x14ac:dyDescent="0.2">
      <c r="B74" s="73">
        <v>7.5</v>
      </c>
      <c r="C74" s="72" t="s">
        <v>65</v>
      </c>
      <c r="D74" s="26">
        <v>900</v>
      </c>
      <c r="E74" s="27">
        <v>0</v>
      </c>
      <c r="F74" s="27">
        <v>0</v>
      </c>
      <c r="G74" s="27">
        <v>0</v>
      </c>
      <c r="H74" s="27">
        <v>0</v>
      </c>
      <c r="I74" s="27">
        <v>0</v>
      </c>
      <c r="J74" s="27">
        <v>0</v>
      </c>
      <c r="K74" s="27">
        <v>0</v>
      </c>
      <c r="L74" s="27">
        <v>0</v>
      </c>
      <c r="M74" s="27">
        <v>0</v>
      </c>
      <c r="N74" s="27">
        <v>0</v>
      </c>
      <c r="O74" s="27">
        <v>1</v>
      </c>
      <c r="P74" s="26">
        <f t="shared" si="8"/>
        <v>0</v>
      </c>
      <c r="R74" s="24">
        <v>900</v>
      </c>
      <c r="S74" s="24"/>
      <c r="T74" s="24">
        <f t="shared" si="9"/>
        <v>0</v>
      </c>
      <c r="U74" s="22">
        <f t="shared" si="10"/>
        <v>0</v>
      </c>
    </row>
    <row r="75" spans="2:23" x14ac:dyDescent="0.2">
      <c r="B75" s="73">
        <v>7.6</v>
      </c>
      <c r="C75" s="72" t="s">
        <v>66</v>
      </c>
      <c r="D75" s="26">
        <v>800</v>
      </c>
      <c r="E75" s="27">
        <v>0</v>
      </c>
      <c r="F75" s="27">
        <v>0</v>
      </c>
      <c r="G75" s="27">
        <v>0</v>
      </c>
      <c r="H75" s="27">
        <v>0</v>
      </c>
      <c r="I75" s="27">
        <v>0</v>
      </c>
      <c r="J75" s="27">
        <v>0</v>
      </c>
      <c r="K75" s="27">
        <v>0</v>
      </c>
      <c r="L75" s="27">
        <v>0</v>
      </c>
      <c r="M75" s="27">
        <v>0</v>
      </c>
      <c r="N75" s="27">
        <v>0</v>
      </c>
      <c r="O75" s="27">
        <v>1</v>
      </c>
      <c r="P75" s="26">
        <f t="shared" si="8"/>
        <v>0</v>
      </c>
      <c r="R75" s="24">
        <v>800</v>
      </c>
      <c r="S75" s="24"/>
      <c r="T75" s="24">
        <f t="shared" si="9"/>
        <v>0</v>
      </c>
      <c r="U75" s="22">
        <f t="shared" si="10"/>
        <v>0</v>
      </c>
    </row>
    <row r="76" spans="2:23" x14ac:dyDescent="0.2">
      <c r="B76" s="73">
        <v>7.7</v>
      </c>
      <c r="C76" s="72" t="s">
        <v>67</v>
      </c>
      <c r="D76" s="26">
        <v>0</v>
      </c>
      <c r="E76" s="27">
        <v>0</v>
      </c>
      <c r="F76" s="27">
        <v>0</v>
      </c>
      <c r="G76" s="27">
        <v>0</v>
      </c>
      <c r="H76" s="27">
        <v>0</v>
      </c>
      <c r="I76" s="27">
        <v>0</v>
      </c>
      <c r="J76" s="27">
        <v>0</v>
      </c>
      <c r="K76" s="27">
        <v>0</v>
      </c>
      <c r="L76" s="27">
        <v>0</v>
      </c>
      <c r="M76" s="27">
        <v>0</v>
      </c>
      <c r="N76" s="27">
        <v>0</v>
      </c>
      <c r="O76" s="27">
        <v>1</v>
      </c>
      <c r="P76" s="26">
        <f t="shared" si="8"/>
        <v>0</v>
      </c>
      <c r="R76" s="24">
        <v>0</v>
      </c>
      <c r="S76" s="24"/>
      <c r="T76" s="24">
        <f t="shared" si="9"/>
        <v>0</v>
      </c>
      <c r="U76" s="22">
        <f t="shared" si="10"/>
        <v>0</v>
      </c>
    </row>
    <row r="77" spans="2:23" x14ac:dyDescent="0.2">
      <c r="B77" s="73">
        <v>7.8</v>
      </c>
      <c r="C77" s="72" t="s">
        <v>68</v>
      </c>
      <c r="D77" s="26">
        <v>175</v>
      </c>
      <c r="E77" s="27">
        <v>0.95</v>
      </c>
      <c r="F77" s="27">
        <v>0.95</v>
      </c>
      <c r="G77" s="27">
        <v>0.9</v>
      </c>
      <c r="H77" s="27">
        <v>0.9</v>
      </c>
      <c r="I77" s="27">
        <v>0.9</v>
      </c>
      <c r="J77" s="27">
        <v>0.95</v>
      </c>
      <c r="K77" s="27">
        <v>0.95</v>
      </c>
      <c r="L77" s="27">
        <v>0.9</v>
      </c>
      <c r="M77" s="27">
        <v>0</v>
      </c>
      <c r="N77" s="27">
        <v>0</v>
      </c>
      <c r="O77" s="27">
        <v>1</v>
      </c>
      <c r="P77" s="26">
        <f t="shared" si="8"/>
        <v>0</v>
      </c>
      <c r="R77" s="24">
        <v>175</v>
      </c>
      <c r="S77" s="24"/>
      <c r="T77" s="24">
        <f t="shared" si="9"/>
        <v>166.25</v>
      </c>
      <c r="U77" s="22">
        <f t="shared" si="10"/>
        <v>0</v>
      </c>
    </row>
    <row r="78" spans="2:23" x14ac:dyDescent="0.2">
      <c r="B78" s="73">
        <v>7.9</v>
      </c>
      <c r="C78" s="72" t="s">
        <v>69</v>
      </c>
      <c r="D78" s="26">
        <v>70</v>
      </c>
      <c r="E78" s="27">
        <v>0.95</v>
      </c>
      <c r="F78" s="27">
        <v>0.95</v>
      </c>
      <c r="G78" s="27">
        <v>0.9</v>
      </c>
      <c r="H78" s="27">
        <v>0.9</v>
      </c>
      <c r="I78" s="27">
        <v>0.9</v>
      </c>
      <c r="J78" s="27">
        <v>0.95</v>
      </c>
      <c r="K78" s="27">
        <v>0.95</v>
      </c>
      <c r="L78" s="27">
        <v>0.9</v>
      </c>
      <c r="M78" s="27">
        <v>0</v>
      </c>
      <c r="N78" s="27">
        <v>0</v>
      </c>
      <c r="O78" s="27">
        <v>1</v>
      </c>
      <c r="P78" s="26">
        <f t="shared" si="8"/>
        <v>0</v>
      </c>
      <c r="R78" s="24">
        <v>70</v>
      </c>
      <c r="S78" s="24"/>
      <c r="T78" s="24">
        <f t="shared" si="9"/>
        <v>66.5</v>
      </c>
      <c r="U78" s="22">
        <f t="shared" si="10"/>
        <v>0</v>
      </c>
    </row>
    <row r="79" spans="2:23" x14ac:dyDescent="0.2">
      <c r="B79" s="73">
        <v>7.1</v>
      </c>
      <c r="C79" s="72" t="s">
        <v>70</v>
      </c>
      <c r="D79" s="26">
        <v>80</v>
      </c>
      <c r="E79" s="27">
        <v>0</v>
      </c>
      <c r="F79" s="27">
        <v>0</v>
      </c>
      <c r="G79" s="27">
        <v>0</v>
      </c>
      <c r="H79" s="27">
        <v>0</v>
      </c>
      <c r="I79" s="27">
        <v>0</v>
      </c>
      <c r="J79" s="27">
        <v>0</v>
      </c>
      <c r="K79" s="27">
        <v>0</v>
      </c>
      <c r="L79" s="27">
        <v>0</v>
      </c>
      <c r="M79" s="27">
        <v>0</v>
      </c>
      <c r="N79" s="27">
        <v>0</v>
      </c>
      <c r="O79" s="27">
        <v>1</v>
      </c>
      <c r="P79" s="26">
        <f t="shared" si="8"/>
        <v>0</v>
      </c>
      <c r="R79" s="24">
        <v>80</v>
      </c>
      <c r="S79" s="24"/>
      <c r="T79" s="24">
        <f t="shared" si="9"/>
        <v>0</v>
      </c>
      <c r="U79" s="22">
        <f t="shared" si="10"/>
        <v>0</v>
      </c>
    </row>
    <row r="80" spans="2:23" x14ac:dyDescent="0.2">
      <c r="B80" s="73">
        <v>7.11</v>
      </c>
      <c r="C80" s="72" t="s">
        <v>71</v>
      </c>
      <c r="D80" s="26">
        <v>250</v>
      </c>
      <c r="E80" s="27">
        <v>0</v>
      </c>
      <c r="F80" s="27">
        <v>0</v>
      </c>
      <c r="G80" s="27">
        <v>0</v>
      </c>
      <c r="H80" s="27">
        <v>0</v>
      </c>
      <c r="I80" s="27">
        <v>0</v>
      </c>
      <c r="J80" s="27">
        <v>0</v>
      </c>
      <c r="K80" s="27">
        <v>0</v>
      </c>
      <c r="L80" s="27">
        <v>0</v>
      </c>
      <c r="M80" s="27">
        <v>0</v>
      </c>
      <c r="N80" s="27">
        <v>0</v>
      </c>
      <c r="O80" s="27">
        <v>1</v>
      </c>
      <c r="P80" s="26">
        <f t="shared" si="8"/>
        <v>0</v>
      </c>
      <c r="R80" s="24">
        <v>250</v>
      </c>
      <c r="S80" s="24"/>
      <c r="T80" s="24">
        <f t="shared" si="9"/>
        <v>0</v>
      </c>
      <c r="U80" s="22">
        <f t="shared" si="10"/>
        <v>0</v>
      </c>
    </row>
    <row r="81" spans="2:21" x14ac:dyDescent="0.2">
      <c r="B81" s="73">
        <v>7.12</v>
      </c>
      <c r="C81" s="72" t="s">
        <v>72</v>
      </c>
      <c r="D81" s="26">
        <v>150</v>
      </c>
      <c r="E81" s="27">
        <v>0</v>
      </c>
      <c r="F81" s="27">
        <v>0</v>
      </c>
      <c r="G81" s="27">
        <v>0</v>
      </c>
      <c r="H81" s="27">
        <v>0</v>
      </c>
      <c r="I81" s="27">
        <v>0</v>
      </c>
      <c r="J81" s="27">
        <v>0</v>
      </c>
      <c r="K81" s="27">
        <v>0</v>
      </c>
      <c r="L81" s="27">
        <v>0</v>
      </c>
      <c r="M81" s="27">
        <v>0</v>
      </c>
      <c r="N81" s="27">
        <v>0</v>
      </c>
      <c r="O81" s="27">
        <v>1</v>
      </c>
      <c r="P81" s="26">
        <f t="shared" si="8"/>
        <v>0</v>
      </c>
      <c r="R81" s="24">
        <v>150</v>
      </c>
      <c r="S81" s="24"/>
      <c r="T81" s="24">
        <f t="shared" si="9"/>
        <v>0</v>
      </c>
      <c r="U81" s="22">
        <f t="shared" si="10"/>
        <v>0</v>
      </c>
    </row>
    <row r="82" spans="2:21" x14ac:dyDescent="0.2">
      <c r="B82" s="73">
        <v>7.13</v>
      </c>
      <c r="C82" s="72" t="s">
        <v>73</v>
      </c>
      <c r="D82" s="26">
        <v>400</v>
      </c>
      <c r="E82" s="27">
        <v>0.95</v>
      </c>
      <c r="F82" s="27">
        <v>0.95</v>
      </c>
      <c r="G82" s="27">
        <v>0.9</v>
      </c>
      <c r="H82" s="27">
        <v>0.9</v>
      </c>
      <c r="I82" s="27">
        <v>0.9</v>
      </c>
      <c r="J82" s="27">
        <v>0.95</v>
      </c>
      <c r="K82" s="27">
        <v>0.95</v>
      </c>
      <c r="L82" s="27">
        <v>0.9</v>
      </c>
      <c r="M82" s="27">
        <v>0</v>
      </c>
      <c r="N82" s="27">
        <v>0</v>
      </c>
      <c r="O82" s="27">
        <v>1</v>
      </c>
      <c r="P82" s="26">
        <f t="shared" si="8"/>
        <v>0</v>
      </c>
      <c r="R82" s="24">
        <v>400</v>
      </c>
      <c r="S82" s="24"/>
      <c r="T82" s="24">
        <f t="shared" si="9"/>
        <v>380</v>
      </c>
      <c r="U82" s="22">
        <f t="shared" si="10"/>
        <v>0</v>
      </c>
    </row>
    <row r="83" spans="2:21" x14ac:dyDescent="0.2">
      <c r="B83" s="73">
        <v>7.14</v>
      </c>
      <c r="C83" s="72" t="s">
        <v>74</v>
      </c>
      <c r="D83" s="26">
        <v>125</v>
      </c>
      <c r="E83" s="27">
        <v>0.95</v>
      </c>
      <c r="F83" s="27">
        <v>0.95</v>
      </c>
      <c r="G83" s="27">
        <v>0.9</v>
      </c>
      <c r="H83" s="27">
        <v>0.9</v>
      </c>
      <c r="I83" s="27">
        <v>0.9</v>
      </c>
      <c r="J83" s="27">
        <v>0.95</v>
      </c>
      <c r="K83" s="27">
        <v>0.95</v>
      </c>
      <c r="L83" s="27">
        <v>0.9</v>
      </c>
      <c r="M83" s="27">
        <v>0</v>
      </c>
      <c r="N83" s="27">
        <v>0</v>
      </c>
      <c r="O83" s="27">
        <v>1</v>
      </c>
      <c r="P83" s="26">
        <f t="shared" si="8"/>
        <v>0</v>
      </c>
      <c r="R83" s="24">
        <v>125</v>
      </c>
      <c r="S83" s="24"/>
      <c r="T83" s="24">
        <f t="shared" si="9"/>
        <v>118.75</v>
      </c>
      <c r="U83" s="22">
        <f t="shared" si="10"/>
        <v>0</v>
      </c>
    </row>
    <row r="84" spans="2:21" x14ac:dyDescent="0.2">
      <c r="B84" s="73">
        <v>7.15</v>
      </c>
      <c r="C84" s="72" t="s">
        <v>75</v>
      </c>
      <c r="D84" s="26">
        <v>1000</v>
      </c>
      <c r="E84" s="27">
        <v>0</v>
      </c>
      <c r="F84" s="27">
        <v>0</v>
      </c>
      <c r="G84" s="27">
        <v>0</v>
      </c>
      <c r="H84" s="27">
        <v>0</v>
      </c>
      <c r="I84" s="27">
        <v>0</v>
      </c>
      <c r="J84" s="27">
        <v>0</v>
      </c>
      <c r="K84" s="27">
        <v>0</v>
      </c>
      <c r="L84" s="27">
        <v>0</v>
      </c>
      <c r="M84" s="27">
        <v>0</v>
      </c>
      <c r="N84" s="27">
        <v>0</v>
      </c>
      <c r="O84" s="27">
        <v>1</v>
      </c>
      <c r="P84" s="26">
        <f t="shared" si="8"/>
        <v>0</v>
      </c>
      <c r="R84" s="24">
        <v>1000</v>
      </c>
      <c r="S84" s="24"/>
      <c r="T84" s="24">
        <f t="shared" si="9"/>
        <v>0</v>
      </c>
      <c r="U84" s="22">
        <f t="shared" si="10"/>
        <v>0</v>
      </c>
    </row>
    <row r="85" spans="2:21" x14ac:dyDescent="0.2">
      <c r="B85" s="73">
        <v>7.16</v>
      </c>
      <c r="C85" s="72" t="s">
        <v>76</v>
      </c>
      <c r="D85" s="26">
        <v>1480</v>
      </c>
      <c r="E85" s="27">
        <v>0.35</v>
      </c>
      <c r="F85" s="27">
        <v>0.35</v>
      </c>
      <c r="G85" s="27">
        <v>0</v>
      </c>
      <c r="H85" s="27">
        <v>0.4</v>
      </c>
      <c r="I85" s="27">
        <v>0.4</v>
      </c>
      <c r="J85" s="27">
        <v>0.4</v>
      </c>
      <c r="K85" s="27">
        <v>0.4</v>
      </c>
      <c r="L85" s="27">
        <v>0.4</v>
      </c>
      <c r="M85" s="27">
        <v>0</v>
      </c>
      <c r="N85" s="27">
        <v>0</v>
      </c>
      <c r="O85" s="27">
        <v>1</v>
      </c>
      <c r="P85" s="26">
        <f t="shared" si="8"/>
        <v>0</v>
      </c>
      <c r="R85" s="24">
        <v>1480</v>
      </c>
      <c r="S85" s="24"/>
      <c r="T85" s="24">
        <f t="shared" si="9"/>
        <v>518</v>
      </c>
      <c r="U85" s="22">
        <f t="shared" si="10"/>
        <v>0</v>
      </c>
    </row>
    <row r="86" spans="2:21" ht="15" x14ac:dyDescent="0.25">
      <c r="B86" s="98"/>
      <c r="C86" s="93" t="s">
        <v>77</v>
      </c>
      <c r="D86" s="94">
        <v>6405</v>
      </c>
      <c r="E86" s="94"/>
      <c r="F86" s="94">
        <v>5</v>
      </c>
      <c r="G86" s="94"/>
      <c r="H86" s="95">
        <f>AVERAGE(H70:H85)</f>
        <v>0.25</v>
      </c>
      <c r="I86" s="97">
        <v>0</v>
      </c>
      <c r="J86" s="97"/>
      <c r="K86" s="97"/>
      <c r="L86" s="97"/>
      <c r="M86" s="95">
        <v>0</v>
      </c>
      <c r="N86" s="94">
        <f>SUM(N70:N85)</f>
        <v>0</v>
      </c>
      <c r="O86" s="96">
        <v>1</v>
      </c>
      <c r="P86" s="94">
        <f>M86*I86</f>
        <v>0</v>
      </c>
      <c r="R86" s="24"/>
      <c r="S86" s="24"/>
      <c r="T86" s="24">
        <f>R86*E86</f>
        <v>0</v>
      </c>
      <c r="U86" s="22">
        <f>S86*J86</f>
        <v>0</v>
      </c>
    </row>
    <row r="87" spans="2:21" ht="15" x14ac:dyDescent="0.25">
      <c r="B87" s="73"/>
      <c r="C87" s="79"/>
      <c r="D87" s="28"/>
      <c r="E87" s="28"/>
      <c r="F87" s="28"/>
      <c r="G87" s="28"/>
      <c r="H87" s="29"/>
      <c r="I87" s="33"/>
      <c r="J87" s="33"/>
      <c r="K87" s="33"/>
      <c r="L87" s="33"/>
      <c r="M87" s="29"/>
      <c r="N87" s="46">
        <f>N86+P86</f>
        <v>0</v>
      </c>
      <c r="O87" s="27">
        <v>1</v>
      </c>
      <c r="P87" s="129"/>
      <c r="R87" s="24"/>
      <c r="S87" s="24"/>
      <c r="T87" s="24">
        <f>R87*E87</f>
        <v>0</v>
      </c>
      <c r="U87" s="22">
        <f>S87*J87</f>
        <v>0</v>
      </c>
    </row>
    <row r="88" spans="2:21" ht="15" x14ac:dyDescent="0.25">
      <c r="B88" s="73">
        <v>8</v>
      </c>
      <c r="C88" s="79" t="s">
        <v>647</v>
      </c>
      <c r="D88" s="28">
        <f>D23+D38+D52+D60+D67+D86</f>
        <v>25526</v>
      </c>
      <c r="E88" s="28"/>
      <c r="F88" s="28"/>
      <c r="G88" s="28"/>
      <c r="H88" s="34" t="s">
        <v>47</v>
      </c>
      <c r="I88" s="33">
        <f>I23+I38+I52+I60+I67+I86</f>
        <v>2985</v>
      </c>
      <c r="J88" s="33"/>
      <c r="K88" s="33"/>
      <c r="L88" s="33"/>
      <c r="M88" s="34" t="s">
        <v>47</v>
      </c>
      <c r="N88" s="28">
        <f>N23+N38+N52+N60+N67+N86</f>
        <v>22.900000000000002</v>
      </c>
      <c r="O88" s="27">
        <v>1</v>
      </c>
      <c r="P88" s="28">
        <f>P23+P38+P52+P60+P67+P86</f>
        <v>679.35346153846172</v>
      </c>
      <c r="R88" s="24">
        <f>SUM(R7:R87)</f>
        <v>25526</v>
      </c>
      <c r="S88" s="24">
        <f t="shared" ref="S88:U88" si="11">SUM(S7:S87)</f>
        <v>2980</v>
      </c>
      <c r="T88" s="24">
        <f t="shared" si="11"/>
        <v>18083.349999999999</v>
      </c>
      <c r="U88" s="24">
        <f t="shared" si="11"/>
        <v>2440.5</v>
      </c>
    </row>
    <row r="89" spans="2:21" ht="42.75" x14ac:dyDescent="0.2">
      <c r="B89" s="73">
        <v>9</v>
      </c>
      <c r="C89" s="80" t="s">
        <v>80</v>
      </c>
      <c r="D89" s="39">
        <v>3040</v>
      </c>
      <c r="E89" s="39"/>
      <c r="F89" s="39"/>
      <c r="G89" s="39"/>
      <c r="H89" s="40" t="s">
        <v>47</v>
      </c>
      <c r="I89" s="39">
        <v>300</v>
      </c>
      <c r="J89" s="39"/>
      <c r="K89" s="39"/>
      <c r="L89" s="39"/>
      <c r="M89" s="40" t="s">
        <v>47</v>
      </c>
      <c r="N89" s="39">
        <f>N88*0.1</f>
        <v>2.2900000000000005</v>
      </c>
      <c r="O89" s="27">
        <v>1</v>
      </c>
      <c r="P89" s="39">
        <f>P88*0.1</f>
        <v>67.935346153846169</v>
      </c>
      <c r="R89" s="24">
        <f>R88+S88</f>
        <v>28506</v>
      </c>
      <c r="S89" s="24"/>
      <c r="T89" s="24">
        <f>T88+U88</f>
        <v>20523.849999999999</v>
      </c>
      <c r="U89" s="22">
        <f>T89/100</f>
        <v>205.23849999999999</v>
      </c>
    </row>
    <row r="90" spans="2:21" ht="28.5" x14ac:dyDescent="0.2">
      <c r="B90" s="73">
        <v>10</v>
      </c>
      <c r="C90" s="80" t="s">
        <v>78</v>
      </c>
      <c r="D90" s="39">
        <v>5470</v>
      </c>
      <c r="E90" s="39"/>
      <c r="F90" s="39"/>
      <c r="G90" s="39"/>
      <c r="H90" s="41" t="s">
        <v>47</v>
      </c>
      <c r="I90" s="39">
        <v>537</v>
      </c>
      <c r="J90" s="39"/>
      <c r="K90" s="39"/>
      <c r="L90" s="39"/>
      <c r="M90" s="40" t="s">
        <v>47</v>
      </c>
      <c r="N90" s="39">
        <f>(N88+N89)*0.18</f>
        <v>4.5342000000000002</v>
      </c>
      <c r="O90" s="27">
        <v>1</v>
      </c>
      <c r="P90" s="39">
        <f>(P88+P89)*0.18</f>
        <v>134.5119853846154</v>
      </c>
      <c r="R90" s="24"/>
      <c r="S90" s="24"/>
      <c r="T90" s="22">
        <f>R89</f>
        <v>28506</v>
      </c>
      <c r="U90" s="22">
        <f>T90/100</f>
        <v>285.06</v>
      </c>
    </row>
    <row r="91" spans="2:21" ht="15" x14ac:dyDescent="0.25">
      <c r="B91" s="73">
        <v>11</v>
      </c>
      <c r="C91" s="79" t="s">
        <v>79</v>
      </c>
      <c r="D91" s="28">
        <f>D88+D89+D90</f>
        <v>34036</v>
      </c>
      <c r="E91" s="28"/>
      <c r="F91" s="28"/>
      <c r="G91" s="28"/>
      <c r="H91" s="36" t="s">
        <v>47</v>
      </c>
      <c r="I91" s="33">
        <f>I88+I89+I90</f>
        <v>3822</v>
      </c>
      <c r="J91" s="33"/>
      <c r="K91" s="33"/>
      <c r="L91" s="33"/>
      <c r="M91" s="34" t="s">
        <v>47</v>
      </c>
      <c r="N91" s="28">
        <f>N88+N89+N90</f>
        <v>29.724200000000003</v>
      </c>
      <c r="O91" s="27">
        <v>1</v>
      </c>
      <c r="P91" s="28">
        <f>P88+P89+P90</f>
        <v>881.80079307692324</v>
      </c>
      <c r="R91" s="24"/>
      <c r="S91" s="24"/>
      <c r="T91" s="24"/>
      <c r="U91" s="120">
        <f>T89/T90</f>
        <v>0.71998351224303647</v>
      </c>
    </row>
    <row r="92" spans="2:21" ht="15" x14ac:dyDescent="0.25">
      <c r="B92" s="73"/>
      <c r="C92" s="79" t="s">
        <v>646</v>
      </c>
      <c r="D92" s="217">
        <f>D91+I91</f>
        <v>37858</v>
      </c>
      <c r="E92" s="218"/>
      <c r="F92" s="218"/>
      <c r="G92" s="218"/>
      <c r="H92" s="218"/>
      <c r="I92" s="219"/>
      <c r="J92" s="129"/>
      <c r="K92" s="219"/>
      <c r="L92" s="129"/>
      <c r="M92" s="27" t="s">
        <v>47</v>
      </c>
      <c r="N92" s="46">
        <f>N91+P91</f>
        <v>911.52499307692324</v>
      </c>
      <c r="O92" s="27">
        <v>1</v>
      </c>
      <c r="P92" s="129"/>
      <c r="R92" s="24"/>
      <c r="S92" s="24"/>
      <c r="T92" s="24"/>
      <c r="U92" s="120"/>
    </row>
    <row r="93" spans="2:21" ht="15" x14ac:dyDescent="0.25">
      <c r="N93" s="37">
        <f>N92/D92</f>
        <v>2.4077473534706621E-2</v>
      </c>
      <c r="O93" s="27">
        <v>1</v>
      </c>
    </row>
    <row r="94" spans="2:21" x14ac:dyDescent="0.2">
      <c r="D94" s="38">
        <f>D88+4861</f>
        <v>30387</v>
      </c>
      <c r="E94" s="38"/>
      <c r="F94" s="38"/>
      <c r="G94" s="38"/>
      <c r="H94" s="38">
        <f>D95</f>
        <v>3038.7000000000003</v>
      </c>
      <c r="O94" s="27">
        <v>1</v>
      </c>
    </row>
    <row r="95" spans="2:21" x14ac:dyDescent="0.2">
      <c r="D95" s="22">
        <f>D94*10%</f>
        <v>3038.7000000000003</v>
      </c>
      <c r="O95" s="27">
        <v>1</v>
      </c>
    </row>
    <row r="96" spans="2:21" x14ac:dyDescent="0.2">
      <c r="D96" s="38">
        <f>D94+D95</f>
        <v>33425.699999999997</v>
      </c>
      <c r="E96" s="38"/>
      <c r="F96" s="38"/>
      <c r="G96" s="38"/>
      <c r="O96" s="27">
        <v>1</v>
      </c>
    </row>
    <row r="98" spans="4:4" x14ac:dyDescent="0.2">
      <c r="D98" s="22">
        <f>D94*18%</f>
        <v>5469.66</v>
      </c>
    </row>
  </sheetData>
  <conditionalFormatting sqref="E15:O15 E17:O17">
    <cfRule type="dataBar" priority="148">
      <dataBar>
        <cfvo type="min"/>
        <cfvo type="max"/>
        <color rgb="FF63C384"/>
      </dataBar>
      <extLst>
        <ext xmlns:x14="http://schemas.microsoft.com/office/spreadsheetml/2009/9/main" uri="{B025F937-C7B1-47D3-B67F-A62EFF666E3E}">
          <x14:id>{CD253C75-B870-464B-B925-00C5A10CD743}</x14:id>
        </ext>
      </extLst>
    </cfRule>
  </conditionalFormatting>
  <conditionalFormatting sqref="E7:O7">
    <cfRule type="dataBar" priority="147">
      <dataBar>
        <cfvo type="min"/>
        <cfvo type="max"/>
        <color rgb="FF63C384"/>
      </dataBar>
      <extLst>
        <ext xmlns:x14="http://schemas.microsoft.com/office/spreadsheetml/2009/9/main" uri="{B025F937-C7B1-47D3-B67F-A62EFF666E3E}">
          <x14:id>{EB65989B-6AC2-4FB0-9500-9D89C22EAFB6}</x14:id>
        </ext>
      </extLst>
    </cfRule>
  </conditionalFormatting>
  <conditionalFormatting sqref="E40:O40">
    <cfRule type="dataBar" priority="143">
      <dataBar>
        <cfvo type="min"/>
        <cfvo type="max"/>
        <color rgb="FF63C384"/>
      </dataBar>
      <extLst>
        <ext xmlns:x14="http://schemas.microsoft.com/office/spreadsheetml/2009/9/main" uri="{B025F937-C7B1-47D3-B67F-A62EFF666E3E}">
          <x14:id>{04C4B122-4B34-4C86-BBBF-6284A7B82660}</x14:id>
        </ext>
      </extLst>
    </cfRule>
  </conditionalFormatting>
  <conditionalFormatting sqref="E72:O72 E74:O74 E76:O76 E78:O78 E70:O70">
    <cfRule type="dataBar" priority="138">
      <dataBar>
        <cfvo type="min"/>
        <cfvo type="max"/>
        <color rgb="FF63C384"/>
      </dataBar>
      <extLst>
        <ext xmlns:x14="http://schemas.microsoft.com/office/spreadsheetml/2009/9/main" uri="{B025F937-C7B1-47D3-B67F-A62EFF666E3E}">
          <x14:id>{B0E8C982-F240-4838-851A-8C8F7BB7DE05}</x14:id>
        </ext>
      </extLst>
    </cfRule>
  </conditionalFormatting>
  <conditionalFormatting sqref="E71:O71">
    <cfRule type="dataBar" priority="136">
      <dataBar>
        <cfvo type="min"/>
        <cfvo type="max"/>
        <color rgb="FF008AEF"/>
      </dataBar>
      <extLst>
        <ext xmlns:x14="http://schemas.microsoft.com/office/spreadsheetml/2009/9/main" uri="{B025F937-C7B1-47D3-B67F-A62EFF666E3E}">
          <x14:id>{8F1967AD-73E2-4FC9-915A-A52C8F6DF3E7}</x14:id>
        </ext>
      </extLst>
    </cfRule>
  </conditionalFormatting>
  <conditionalFormatting sqref="E80:O80 E82:O82 E84:O84">
    <cfRule type="dataBar" priority="135">
      <dataBar>
        <cfvo type="min"/>
        <cfvo type="max"/>
        <color rgb="FF63C384"/>
      </dataBar>
      <extLst>
        <ext xmlns:x14="http://schemas.microsoft.com/office/spreadsheetml/2009/9/main" uri="{B025F937-C7B1-47D3-B67F-A62EFF666E3E}">
          <x14:id>{744D17B0-8A2B-4253-A374-C2B634EFA51D}</x14:id>
        </ext>
      </extLst>
    </cfRule>
  </conditionalFormatting>
  <conditionalFormatting sqref="E65:O66 E63:O63">
    <cfRule type="dataBar" priority="340">
      <dataBar>
        <cfvo type="min"/>
        <cfvo type="max"/>
        <color rgb="FF63C384"/>
      </dataBar>
      <extLst>
        <ext xmlns:x14="http://schemas.microsoft.com/office/spreadsheetml/2009/9/main" uri="{B025F937-C7B1-47D3-B67F-A62EFF666E3E}">
          <x14:id>{72EE391A-B438-4069-8FD5-7B0BCCC3D0D8}</x14:id>
        </ext>
      </extLst>
    </cfRule>
  </conditionalFormatting>
  <conditionalFormatting sqref="E9:O9">
    <cfRule type="dataBar" priority="346">
      <dataBar>
        <cfvo type="min"/>
        <cfvo type="max"/>
        <color rgb="FF63C384"/>
      </dataBar>
      <extLst>
        <ext xmlns:x14="http://schemas.microsoft.com/office/spreadsheetml/2009/9/main" uri="{B025F937-C7B1-47D3-B67F-A62EFF666E3E}">
          <x14:id>{9E57DFE8-594B-4824-9B30-25C2E7ECF7EB}</x14:id>
        </ext>
      </extLst>
    </cfRule>
  </conditionalFormatting>
  <conditionalFormatting sqref="E22:O22 E20:O20 E16:O16 E28:O28">
    <cfRule type="dataBar" priority="379">
      <dataBar>
        <cfvo type="min"/>
        <cfvo type="max"/>
        <color rgb="FF008AEF"/>
      </dataBar>
      <extLst>
        <ext xmlns:x14="http://schemas.microsoft.com/office/spreadsheetml/2009/9/main" uri="{B025F937-C7B1-47D3-B67F-A62EFF666E3E}">
          <x14:id>{6CF435B8-6071-44CF-A03C-C71D1790CD3D}</x14:id>
        </ext>
      </extLst>
    </cfRule>
  </conditionalFormatting>
  <conditionalFormatting sqref="H86 M86 E23:O23">
    <cfRule type="dataBar" priority="604">
      <dataBar>
        <cfvo type="min"/>
        <cfvo type="max"/>
        <color rgb="FFD6007B"/>
      </dataBar>
      <extLst>
        <ext xmlns:x14="http://schemas.microsoft.com/office/spreadsheetml/2009/9/main" uri="{B025F937-C7B1-47D3-B67F-A62EFF666E3E}">
          <x14:id>{9D7DEA16-1E50-4B04-935B-176317DAEEB3}</x14:id>
        </ext>
      </extLst>
    </cfRule>
  </conditionalFormatting>
  <conditionalFormatting sqref="E64:O64">
    <cfRule type="dataBar" priority="691">
      <dataBar>
        <cfvo type="min"/>
        <cfvo type="max"/>
        <color rgb="FF63C384"/>
      </dataBar>
      <extLst>
        <ext xmlns:x14="http://schemas.microsoft.com/office/spreadsheetml/2009/9/main" uri="{B025F937-C7B1-47D3-B67F-A62EFF666E3E}">
          <x14:id>{64D935CA-CA0C-4327-BF92-3F65954CE4A8}</x14:id>
        </ext>
      </extLst>
    </cfRule>
  </conditionalFormatting>
  <conditionalFormatting sqref="E64:O64">
    <cfRule type="dataBar" priority="693">
      <dataBar>
        <cfvo type="min"/>
        <cfvo type="max"/>
        <color rgb="FF008AEF"/>
      </dataBar>
      <extLst>
        <ext xmlns:x14="http://schemas.microsoft.com/office/spreadsheetml/2009/9/main" uri="{B025F937-C7B1-47D3-B67F-A62EFF666E3E}">
          <x14:id>{2DF9A978-36EA-4841-A771-C678F899878E}</x14:id>
        </ext>
      </extLst>
    </cfRule>
  </conditionalFormatting>
  <conditionalFormatting sqref="E55:O55">
    <cfRule type="dataBar" priority="818">
      <dataBar>
        <cfvo type="min"/>
        <cfvo type="max"/>
        <color rgb="FF008AEF"/>
      </dataBar>
      <extLst>
        <ext xmlns:x14="http://schemas.microsoft.com/office/spreadsheetml/2009/9/main" uri="{B025F937-C7B1-47D3-B67F-A62EFF666E3E}">
          <x14:id>{BC400B80-C52E-4554-8486-609935C637E6}</x14:id>
        </ext>
      </extLst>
    </cfRule>
  </conditionalFormatting>
  <conditionalFormatting sqref="E19:O19 E7:O7 E9:O9 E15:O15 E17:O17 E21:O21">
    <cfRule type="dataBar" priority="834">
      <dataBar>
        <cfvo type="min"/>
        <cfvo type="max"/>
        <color rgb="FF63C384"/>
      </dataBar>
      <extLst>
        <ext xmlns:x14="http://schemas.microsoft.com/office/spreadsheetml/2009/9/main" uri="{B025F937-C7B1-47D3-B67F-A62EFF666E3E}">
          <x14:id>{2FA0E699-2821-4DA8-8526-6D0C02AED1A9}</x14:id>
        </ext>
      </extLst>
    </cfRule>
  </conditionalFormatting>
  <conditionalFormatting sqref="E18:O18 E8:O8 E14:O14 E16:O16 E22:O22 E20:O20">
    <cfRule type="dataBar" priority="852">
      <dataBar>
        <cfvo type="min"/>
        <cfvo type="max"/>
        <color rgb="FF008AEF"/>
      </dataBar>
      <extLst>
        <ext xmlns:x14="http://schemas.microsoft.com/office/spreadsheetml/2009/9/main" uri="{B025F937-C7B1-47D3-B67F-A62EFF666E3E}">
          <x14:id>{7BCB5685-7BB5-42B9-AF7F-64745C6373CF}</x14:id>
        </ext>
      </extLst>
    </cfRule>
  </conditionalFormatting>
  <conditionalFormatting sqref="E32:O32 E36:O36 E34:O34 E29:O29 E27:O27 E25:O25">
    <cfRule type="dataBar" priority="870">
      <dataBar>
        <cfvo type="min"/>
        <cfvo type="max"/>
        <color rgb="FF63C384"/>
      </dataBar>
      <extLst>
        <ext xmlns:x14="http://schemas.microsoft.com/office/spreadsheetml/2009/9/main" uri="{B025F937-C7B1-47D3-B67F-A62EFF666E3E}">
          <x14:id>{8E612FAF-C97C-4BBC-9B70-0FFAB3F78C7C}</x14:id>
        </ext>
      </extLst>
    </cfRule>
  </conditionalFormatting>
  <conditionalFormatting sqref="E30:O30 E28:O28 E33:O33 E35:O35 E37:O37">
    <cfRule type="dataBar" priority="889">
      <dataBar>
        <cfvo type="min"/>
        <cfvo type="max"/>
        <color rgb="FF008AEF"/>
      </dataBar>
      <extLst>
        <ext xmlns:x14="http://schemas.microsoft.com/office/spreadsheetml/2009/9/main" uri="{B025F937-C7B1-47D3-B67F-A62EFF666E3E}">
          <x14:id>{4008EAB2-CA4A-485B-8121-1E3D01859540}</x14:id>
        </ext>
      </extLst>
    </cfRule>
  </conditionalFormatting>
  <conditionalFormatting sqref="E41:O41 E51:O51 E43:O43 E47:O47 E49:O49 E45:O45">
    <cfRule type="dataBar" priority="904">
      <dataBar>
        <cfvo type="min"/>
        <cfvo type="max"/>
        <color rgb="FF008AEF"/>
      </dataBar>
      <extLst>
        <ext xmlns:x14="http://schemas.microsoft.com/office/spreadsheetml/2009/9/main" uri="{B025F937-C7B1-47D3-B67F-A62EFF666E3E}">
          <x14:id>{2D239CCE-E88C-4D70-B3C4-7FB01BFA7040}</x14:id>
        </ext>
      </extLst>
    </cfRule>
  </conditionalFormatting>
  <conditionalFormatting sqref="E55:O55 E57:O57 E59:O59">
    <cfRule type="dataBar" priority="922">
      <dataBar>
        <cfvo type="min"/>
        <cfvo type="max"/>
        <color rgb="FF008AEF"/>
      </dataBar>
      <extLst>
        <ext xmlns:x14="http://schemas.microsoft.com/office/spreadsheetml/2009/9/main" uri="{B025F937-C7B1-47D3-B67F-A62EFF666E3E}">
          <x14:id>{52D66F7E-4DAF-4F28-A12F-A720DFB17D93}</x14:id>
        </ext>
      </extLst>
    </cfRule>
  </conditionalFormatting>
  <conditionalFormatting sqref="E50:O50 E42:O42 E48:O48 E46:O46 E44:O44 E40:O40">
    <cfRule type="dataBar" priority="932">
      <dataBar>
        <cfvo type="min"/>
        <cfvo type="max"/>
        <color rgb="FF63C384"/>
      </dataBar>
      <extLst>
        <ext xmlns:x14="http://schemas.microsoft.com/office/spreadsheetml/2009/9/main" uri="{B025F937-C7B1-47D3-B67F-A62EFF666E3E}">
          <x14:id>{6D74156F-529F-4460-8DB6-8DEBE0975D09}</x14:id>
        </ext>
      </extLst>
    </cfRule>
  </conditionalFormatting>
  <conditionalFormatting sqref="E56:O56 E58:O58 E54:O54">
    <cfRule type="dataBar" priority="950">
      <dataBar>
        <cfvo type="min"/>
        <cfvo type="max"/>
        <color rgb="FF63C384"/>
      </dataBar>
      <extLst>
        <ext xmlns:x14="http://schemas.microsoft.com/office/spreadsheetml/2009/9/main" uri="{B025F937-C7B1-47D3-B67F-A62EFF666E3E}">
          <x14:id>{4FD0C716-5225-430C-B58C-553563DAACBA}</x14:id>
        </ext>
      </extLst>
    </cfRule>
  </conditionalFormatting>
  <conditionalFormatting sqref="E70:P85">
    <cfRule type="dataBar" priority="964">
      <dataBar>
        <cfvo type="min"/>
        <cfvo type="max"/>
        <color rgb="FF63C384"/>
      </dataBar>
      <extLst>
        <ext xmlns:x14="http://schemas.microsoft.com/office/spreadsheetml/2009/9/main" uri="{B025F937-C7B1-47D3-B67F-A62EFF666E3E}">
          <x14:id>{D6B0E72F-294B-4C7D-A892-C93D56284680}</x14:id>
        </ext>
      </extLst>
    </cfRule>
  </conditionalFormatting>
  <conditionalFormatting sqref="E14:O14">
    <cfRule type="dataBar" priority="983">
      <dataBar>
        <cfvo type="min"/>
        <cfvo type="max"/>
        <color rgb="FF008AEF"/>
      </dataBar>
      <extLst>
        <ext xmlns:x14="http://schemas.microsoft.com/office/spreadsheetml/2009/9/main" uri="{B025F937-C7B1-47D3-B67F-A62EFF666E3E}">
          <x14:id>{F8F092AC-B422-4BD3-BD29-759E0D946D6D}</x14:id>
        </ext>
      </extLst>
    </cfRule>
  </conditionalFormatting>
  <conditionalFormatting sqref="E25:O25 E36:O36 E34:O34 E32:O32 E29:O29">
    <cfRule type="dataBar" priority="986">
      <dataBar>
        <cfvo type="min"/>
        <cfvo type="max"/>
        <color rgb="FF63C384"/>
      </dataBar>
      <extLst>
        <ext xmlns:x14="http://schemas.microsoft.com/office/spreadsheetml/2009/9/main" uri="{B025F937-C7B1-47D3-B67F-A62EFF666E3E}">
          <x14:id>{1D02578C-3B78-48F5-946F-08E9F66420AF}</x14:id>
        </ext>
      </extLst>
    </cfRule>
  </conditionalFormatting>
  <conditionalFormatting sqref="E54:O54">
    <cfRule type="dataBar" priority="1020">
      <dataBar>
        <cfvo type="min"/>
        <cfvo type="max"/>
        <color rgb="FF63C384"/>
      </dataBar>
      <extLst>
        <ext xmlns:x14="http://schemas.microsoft.com/office/spreadsheetml/2009/9/main" uri="{B025F937-C7B1-47D3-B67F-A62EFF666E3E}">
          <x14:id>{5EB75438-8B94-4CD8-9425-8EE4DE207206}</x14:id>
        </ext>
      </extLst>
    </cfRule>
  </conditionalFormatting>
  <conditionalFormatting sqref="E70:O70 E72:O72 E74:O74 E76:O76 E78:O78 E80:O80 E82:O82 E84:O84">
    <cfRule type="dataBar" priority="1029">
      <dataBar>
        <cfvo type="min"/>
        <cfvo type="max"/>
        <color rgb="FF63C384"/>
      </dataBar>
      <extLst>
        <ext xmlns:x14="http://schemas.microsoft.com/office/spreadsheetml/2009/9/main" uri="{B025F937-C7B1-47D3-B67F-A62EFF666E3E}">
          <x14:id>{29A22868-ED18-4DC8-973C-61687ECD3A51}</x14:id>
        </ext>
      </extLst>
    </cfRule>
  </conditionalFormatting>
  <conditionalFormatting sqref="E41:O41 E43:O43 E47:O47 E51:P51">
    <cfRule type="dataBar" priority="1054">
      <dataBar>
        <cfvo type="min"/>
        <cfvo type="max"/>
        <color rgb="FF008AEF"/>
      </dataBar>
      <extLst>
        <ext xmlns:x14="http://schemas.microsoft.com/office/spreadsheetml/2009/9/main" uri="{B025F937-C7B1-47D3-B67F-A62EFF666E3E}">
          <x14:id>{0679D526-8349-415E-94A2-1C703259F477}</x14:id>
        </ext>
      </extLst>
    </cfRule>
  </conditionalFormatting>
  <conditionalFormatting sqref="E71:O71 E73:O73 E75:O75 E77:O77 E79:O79 E81:O81 E83:O83 E85:O85">
    <cfRule type="dataBar" priority="1084">
      <dataBar>
        <cfvo type="min"/>
        <cfvo type="max"/>
        <color rgb="FF008AEF"/>
      </dataBar>
      <extLst>
        <ext xmlns:x14="http://schemas.microsoft.com/office/spreadsheetml/2009/9/main" uri="{B025F937-C7B1-47D3-B67F-A62EFF666E3E}">
          <x14:id>{36F6BA4B-401A-4455-87BF-053D4435DA61}</x14:id>
        </ext>
      </extLst>
    </cfRule>
  </conditionalFormatting>
  <conditionalFormatting sqref="E26:O26">
    <cfRule type="dataBar" priority="20">
      <dataBar>
        <cfvo type="min"/>
        <cfvo type="max"/>
        <color rgb="FF008AEF"/>
      </dataBar>
      <extLst>
        <ext xmlns:x14="http://schemas.microsoft.com/office/spreadsheetml/2009/9/main" uri="{B025F937-C7B1-47D3-B67F-A62EFF666E3E}">
          <x14:id>{58F3EDDC-6729-4D01-A98C-1FC2624B23CB}</x14:id>
        </ext>
      </extLst>
    </cfRule>
  </conditionalFormatting>
  <conditionalFormatting sqref="E31:O31">
    <cfRule type="dataBar" priority="19">
      <dataBar>
        <cfvo type="min"/>
        <cfvo type="max"/>
        <color rgb="FF63C384"/>
      </dataBar>
      <extLst>
        <ext xmlns:x14="http://schemas.microsoft.com/office/spreadsheetml/2009/9/main" uri="{B025F937-C7B1-47D3-B67F-A62EFF666E3E}">
          <x14:id>{A1923B66-31AF-42F3-BE8B-5E20814EE8C7}</x14:id>
        </ext>
      </extLst>
    </cfRule>
  </conditionalFormatting>
  <conditionalFormatting sqref="E32:O32">
    <cfRule type="dataBar" priority="18">
      <dataBar>
        <cfvo type="min"/>
        <cfvo type="max"/>
        <color rgb="FF008AEF"/>
      </dataBar>
      <extLst>
        <ext xmlns:x14="http://schemas.microsoft.com/office/spreadsheetml/2009/9/main" uri="{B025F937-C7B1-47D3-B67F-A62EFF666E3E}">
          <x14:id>{A833D961-467B-4160-9B19-821A1011E9A9}</x14:id>
        </ext>
      </extLst>
    </cfRule>
  </conditionalFormatting>
  <conditionalFormatting sqref="E33:O33">
    <cfRule type="dataBar" priority="17">
      <dataBar>
        <cfvo type="min"/>
        <cfvo type="max"/>
        <color rgb="FF63C384"/>
      </dataBar>
      <extLst>
        <ext xmlns:x14="http://schemas.microsoft.com/office/spreadsheetml/2009/9/main" uri="{B025F937-C7B1-47D3-B67F-A62EFF666E3E}">
          <x14:id>{58449C65-8A3B-4D75-823B-BE87CBA0C9CD}</x14:id>
        </ext>
      </extLst>
    </cfRule>
  </conditionalFormatting>
  <conditionalFormatting sqref="E34:O34">
    <cfRule type="dataBar" priority="16">
      <dataBar>
        <cfvo type="min"/>
        <cfvo type="max"/>
        <color rgb="FF008AEF"/>
      </dataBar>
      <extLst>
        <ext xmlns:x14="http://schemas.microsoft.com/office/spreadsheetml/2009/9/main" uri="{B025F937-C7B1-47D3-B67F-A62EFF666E3E}">
          <x14:id>{00C67B84-FE75-451A-B509-C2B87B173E5A}</x14:id>
        </ext>
      </extLst>
    </cfRule>
  </conditionalFormatting>
  <conditionalFormatting sqref="E35:O35">
    <cfRule type="dataBar" priority="15">
      <dataBar>
        <cfvo type="min"/>
        <cfvo type="max"/>
        <color rgb="FF63C384"/>
      </dataBar>
      <extLst>
        <ext xmlns:x14="http://schemas.microsoft.com/office/spreadsheetml/2009/9/main" uri="{B025F937-C7B1-47D3-B67F-A62EFF666E3E}">
          <x14:id>{7D3A20F7-36F6-43DF-895E-85948771BAC1}</x14:id>
        </ext>
      </extLst>
    </cfRule>
  </conditionalFormatting>
  <conditionalFormatting sqref="E36:O36">
    <cfRule type="dataBar" priority="14">
      <dataBar>
        <cfvo type="min"/>
        <cfvo type="max"/>
        <color rgb="FF008AEF"/>
      </dataBar>
      <extLst>
        <ext xmlns:x14="http://schemas.microsoft.com/office/spreadsheetml/2009/9/main" uri="{B025F937-C7B1-47D3-B67F-A62EFF666E3E}">
          <x14:id>{0C9D1B45-8BA9-438F-A3D7-DCA708DADD3C}</x14:id>
        </ext>
      </extLst>
    </cfRule>
  </conditionalFormatting>
  <conditionalFormatting sqref="E37:O37">
    <cfRule type="dataBar" priority="13">
      <dataBar>
        <cfvo type="min"/>
        <cfvo type="max"/>
        <color rgb="FF63C384"/>
      </dataBar>
      <extLst>
        <ext xmlns:x14="http://schemas.microsoft.com/office/spreadsheetml/2009/9/main" uri="{B025F937-C7B1-47D3-B67F-A62EFF666E3E}">
          <x14:id>{381B8EAB-B60B-452A-9A26-F9F84E4C55FD}</x14:id>
        </ext>
      </extLst>
    </cfRule>
  </conditionalFormatting>
  <conditionalFormatting sqref="E61:O61">
    <cfRule type="dataBar" priority="11">
      <dataBar>
        <cfvo type="min"/>
        <cfvo type="max"/>
        <color rgb="FF63C384"/>
      </dataBar>
      <extLst>
        <ext xmlns:x14="http://schemas.microsoft.com/office/spreadsheetml/2009/9/main" uri="{B025F937-C7B1-47D3-B67F-A62EFF666E3E}">
          <x14:id>{6FBCFDC0-0A34-4D7A-AE84-545FB7CEE102}</x14:id>
        </ext>
      </extLst>
    </cfRule>
  </conditionalFormatting>
  <conditionalFormatting sqref="E66:O66">
    <cfRule type="dataBar" priority="9">
      <dataBar>
        <cfvo type="min"/>
        <cfvo type="max"/>
        <color rgb="FF008AEF"/>
      </dataBar>
      <extLst>
        <ext xmlns:x14="http://schemas.microsoft.com/office/spreadsheetml/2009/9/main" uri="{B025F937-C7B1-47D3-B67F-A62EFF666E3E}">
          <x14:id>{1EBE1612-4796-4304-8235-5A0F21F4F1A5}</x14:id>
        </ext>
      </extLst>
    </cfRule>
  </conditionalFormatting>
  <conditionalFormatting sqref="E68:O68">
    <cfRule type="dataBar" priority="8">
      <dataBar>
        <cfvo type="min"/>
        <cfvo type="max"/>
        <color rgb="FF63C384"/>
      </dataBar>
      <extLst>
        <ext xmlns:x14="http://schemas.microsoft.com/office/spreadsheetml/2009/9/main" uri="{B025F937-C7B1-47D3-B67F-A62EFF666E3E}">
          <x14:id>{43435DD7-A7C2-4D66-AC88-20DAD2ACC181}</x14:id>
        </ext>
      </extLst>
    </cfRule>
  </conditionalFormatting>
  <conditionalFormatting sqref="E73:O73">
    <cfRule type="dataBar" priority="7">
      <dataBar>
        <cfvo type="min"/>
        <cfvo type="max"/>
        <color rgb="FF008AEF"/>
      </dataBar>
      <extLst>
        <ext xmlns:x14="http://schemas.microsoft.com/office/spreadsheetml/2009/9/main" uri="{B025F937-C7B1-47D3-B67F-A62EFF666E3E}">
          <x14:id>{B70E1693-208B-4957-9CE8-AD2FD6CC8A1A}</x14:id>
        </ext>
      </extLst>
    </cfRule>
  </conditionalFormatting>
  <conditionalFormatting sqref="E75:O75">
    <cfRule type="dataBar" priority="6">
      <dataBar>
        <cfvo type="min"/>
        <cfvo type="max"/>
        <color rgb="FF008AEF"/>
      </dataBar>
      <extLst>
        <ext xmlns:x14="http://schemas.microsoft.com/office/spreadsheetml/2009/9/main" uri="{B025F937-C7B1-47D3-B67F-A62EFF666E3E}">
          <x14:id>{6433F7DF-D6A4-48B2-9DCC-9A43AC4988F7}</x14:id>
        </ext>
      </extLst>
    </cfRule>
  </conditionalFormatting>
  <conditionalFormatting sqref="E77:O77">
    <cfRule type="dataBar" priority="5">
      <dataBar>
        <cfvo type="min"/>
        <cfvo type="max"/>
        <color rgb="FF008AEF"/>
      </dataBar>
      <extLst>
        <ext xmlns:x14="http://schemas.microsoft.com/office/spreadsheetml/2009/9/main" uri="{B025F937-C7B1-47D3-B67F-A62EFF666E3E}">
          <x14:id>{9DCBBE15-50DB-49AC-90FF-7889BD2AA05D}</x14:id>
        </ext>
      </extLst>
    </cfRule>
  </conditionalFormatting>
  <conditionalFormatting sqref="E79:O79">
    <cfRule type="dataBar" priority="4">
      <dataBar>
        <cfvo type="min"/>
        <cfvo type="max"/>
        <color rgb="FF008AEF"/>
      </dataBar>
      <extLst>
        <ext xmlns:x14="http://schemas.microsoft.com/office/spreadsheetml/2009/9/main" uri="{B025F937-C7B1-47D3-B67F-A62EFF666E3E}">
          <x14:id>{D3073B5A-FE10-4080-BAF9-2570B934BD8F}</x14:id>
        </ext>
      </extLst>
    </cfRule>
  </conditionalFormatting>
  <conditionalFormatting sqref="E81:O81">
    <cfRule type="dataBar" priority="3">
      <dataBar>
        <cfvo type="min"/>
        <cfvo type="max"/>
        <color rgb="FF008AEF"/>
      </dataBar>
      <extLst>
        <ext xmlns:x14="http://schemas.microsoft.com/office/spreadsheetml/2009/9/main" uri="{B025F937-C7B1-47D3-B67F-A62EFF666E3E}">
          <x14:id>{1548A7D6-FDC5-4016-9765-7D4D2A39A0AB}</x14:id>
        </ext>
      </extLst>
    </cfRule>
  </conditionalFormatting>
  <conditionalFormatting sqref="E83:O83">
    <cfRule type="dataBar" priority="2">
      <dataBar>
        <cfvo type="min"/>
        <cfvo type="max"/>
        <color rgb="FF008AEF"/>
      </dataBar>
      <extLst>
        <ext xmlns:x14="http://schemas.microsoft.com/office/spreadsheetml/2009/9/main" uri="{B025F937-C7B1-47D3-B67F-A62EFF666E3E}">
          <x14:id>{ED904D31-6D60-4947-BEC4-872A60921513}</x14:id>
        </ext>
      </extLst>
    </cfRule>
  </conditionalFormatting>
  <conditionalFormatting sqref="E85:O85">
    <cfRule type="dataBar" priority="1">
      <dataBar>
        <cfvo type="min"/>
        <cfvo type="max"/>
        <color rgb="FF008AEF"/>
      </dataBar>
      <extLst>
        <ext xmlns:x14="http://schemas.microsoft.com/office/spreadsheetml/2009/9/main" uri="{B025F937-C7B1-47D3-B67F-A62EFF666E3E}">
          <x14:id>{31555E7D-85ED-40ED-9A90-39D635F4970C}</x14:id>
        </ext>
      </extLst>
    </cfRule>
  </conditionalFormatting>
  <pageMargins left="0.25" right="0.25" top="0.75" bottom="0.75" header="0.3" footer="0.3"/>
  <pageSetup paperSize="9" scale="96" fitToHeight="0" orientation="landscape" r:id="rId1"/>
  <rowBreaks count="1" manualBreakCount="1">
    <brk id="52" min="1" max="9" man="1"/>
  </rowBreaks>
  <extLst>
    <ext xmlns:x14="http://schemas.microsoft.com/office/spreadsheetml/2009/9/main" uri="{78C0D931-6437-407d-A8EE-F0AAD7539E65}">
      <x14:conditionalFormattings>
        <x14:conditionalFormatting xmlns:xm="http://schemas.microsoft.com/office/excel/2006/main">
          <x14:cfRule type="dataBar" id="{CD253C75-B870-464B-B925-00C5A10CD743}">
            <x14:dataBar minLength="0" maxLength="100" border="1" negativeBarBorderColorSameAsPositive="0">
              <x14:cfvo type="autoMin"/>
              <x14:cfvo type="autoMax"/>
              <x14:borderColor rgb="FF63C384"/>
              <x14:negativeFillColor rgb="FFFF0000"/>
              <x14:negativeBorderColor rgb="FFFF0000"/>
              <x14:axisColor rgb="FF000000"/>
            </x14:dataBar>
          </x14:cfRule>
          <xm:sqref>E15:O15 E17:O17</xm:sqref>
        </x14:conditionalFormatting>
        <x14:conditionalFormatting xmlns:xm="http://schemas.microsoft.com/office/excel/2006/main">
          <x14:cfRule type="dataBar" id="{EB65989B-6AC2-4FB0-9500-9D89C22EAFB6}">
            <x14:dataBar minLength="0" maxLength="100" border="1" negativeBarBorderColorSameAsPositive="0">
              <x14:cfvo type="autoMin"/>
              <x14:cfvo type="autoMax"/>
              <x14:borderColor rgb="FF63C384"/>
              <x14:negativeFillColor rgb="FFFF0000"/>
              <x14:negativeBorderColor rgb="FFFF0000"/>
              <x14:axisColor rgb="FF000000"/>
            </x14:dataBar>
          </x14:cfRule>
          <xm:sqref>E7:O7</xm:sqref>
        </x14:conditionalFormatting>
        <x14:conditionalFormatting xmlns:xm="http://schemas.microsoft.com/office/excel/2006/main">
          <x14:cfRule type="dataBar" id="{04C4B122-4B34-4C86-BBBF-6284A7B82660}">
            <x14:dataBar minLength="0" maxLength="100" border="1" negativeBarBorderColorSameAsPositive="0">
              <x14:cfvo type="autoMin"/>
              <x14:cfvo type="autoMax"/>
              <x14:borderColor rgb="FF63C384"/>
              <x14:negativeFillColor rgb="FFFF0000"/>
              <x14:negativeBorderColor rgb="FFFF0000"/>
              <x14:axisColor rgb="FF000000"/>
            </x14:dataBar>
          </x14:cfRule>
          <xm:sqref>E40:O40</xm:sqref>
        </x14:conditionalFormatting>
        <x14:conditionalFormatting xmlns:xm="http://schemas.microsoft.com/office/excel/2006/main">
          <x14:cfRule type="dataBar" id="{B0E8C982-F240-4838-851A-8C8F7BB7DE05}">
            <x14:dataBar minLength="0" maxLength="100" border="1" negativeBarBorderColorSameAsPositive="0">
              <x14:cfvo type="autoMin"/>
              <x14:cfvo type="autoMax"/>
              <x14:borderColor rgb="FF63C384"/>
              <x14:negativeFillColor rgb="FFFF0000"/>
              <x14:negativeBorderColor rgb="FFFF0000"/>
              <x14:axisColor rgb="FF000000"/>
            </x14:dataBar>
          </x14:cfRule>
          <xm:sqref>E72:O72 E74:O74 E76:O76 E78:O78 E70:O70</xm:sqref>
        </x14:conditionalFormatting>
        <x14:conditionalFormatting xmlns:xm="http://schemas.microsoft.com/office/excel/2006/main">
          <x14:cfRule type="dataBar" id="{8F1967AD-73E2-4FC9-915A-A52C8F6DF3E7}">
            <x14:dataBar minLength="0" maxLength="100" border="1" negativeBarBorderColorSameAsPositive="0">
              <x14:cfvo type="autoMin"/>
              <x14:cfvo type="autoMax"/>
              <x14:borderColor rgb="FF008AEF"/>
              <x14:negativeFillColor rgb="FFFF0000"/>
              <x14:negativeBorderColor rgb="FFFF0000"/>
              <x14:axisColor rgb="FF000000"/>
            </x14:dataBar>
          </x14:cfRule>
          <xm:sqref>E71:O71</xm:sqref>
        </x14:conditionalFormatting>
        <x14:conditionalFormatting xmlns:xm="http://schemas.microsoft.com/office/excel/2006/main">
          <x14:cfRule type="dataBar" id="{744D17B0-8A2B-4253-A374-C2B634EFA51D}">
            <x14:dataBar minLength="0" maxLength="100" border="1" negativeBarBorderColorSameAsPositive="0">
              <x14:cfvo type="autoMin"/>
              <x14:cfvo type="autoMax"/>
              <x14:borderColor rgb="FF63C384"/>
              <x14:negativeFillColor rgb="FFFF0000"/>
              <x14:negativeBorderColor rgb="FFFF0000"/>
              <x14:axisColor rgb="FF000000"/>
            </x14:dataBar>
          </x14:cfRule>
          <xm:sqref>E80:O80 E82:O82 E84:O84</xm:sqref>
        </x14:conditionalFormatting>
        <x14:conditionalFormatting xmlns:xm="http://schemas.microsoft.com/office/excel/2006/main">
          <x14:cfRule type="dataBar" id="{72EE391A-B438-4069-8FD5-7B0BCCC3D0D8}">
            <x14:dataBar minLength="0" maxLength="100" border="1" negativeBarBorderColorSameAsPositive="0">
              <x14:cfvo type="autoMin"/>
              <x14:cfvo type="autoMax"/>
              <x14:borderColor rgb="FF63C384"/>
              <x14:negativeFillColor rgb="FFFF0000"/>
              <x14:negativeBorderColor rgb="FFFF0000"/>
              <x14:axisColor rgb="FF000000"/>
            </x14:dataBar>
          </x14:cfRule>
          <xm:sqref>E65:O66 E63:O63</xm:sqref>
        </x14:conditionalFormatting>
        <x14:conditionalFormatting xmlns:xm="http://schemas.microsoft.com/office/excel/2006/main">
          <x14:cfRule type="dataBar" id="{9E57DFE8-594B-4824-9B30-25C2E7ECF7EB}">
            <x14:dataBar minLength="0" maxLength="100" border="1" negativeBarBorderColorSameAsPositive="0">
              <x14:cfvo type="autoMin"/>
              <x14:cfvo type="autoMax"/>
              <x14:borderColor rgb="FF63C384"/>
              <x14:negativeFillColor rgb="FFFF0000"/>
              <x14:negativeBorderColor rgb="FFFF0000"/>
              <x14:axisColor rgb="FF000000"/>
            </x14:dataBar>
          </x14:cfRule>
          <xm:sqref>E9:O9</xm:sqref>
        </x14:conditionalFormatting>
        <x14:conditionalFormatting xmlns:xm="http://schemas.microsoft.com/office/excel/2006/main">
          <x14:cfRule type="dataBar" id="{6CF435B8-6071-44CF-A03C-C71D1790CD3D}">
            <x14:dataBar minLength="0" maxLength="100" border="1" negativeBarBorderColorSameAsPositive="0">
              <x14:cfvo type="autoMin"/>
              <x14:cfvo type="autoMax"/>
              <x14:borderColor rgb="FF008AEF"/>
              <x14:negativeFillColor rgb="FFFF0000"/>
              <x14:negativeBorderColor rgb="FFFF0000"/>
              <x14:axisColor rgb="FF000000"/>
            </x14:dataBar>
          </x14:cfRule>
          <xm:sqref>E22:O22 E20:O20 E16:O16 E28:O28</xm:sqref>
        </x14:conditionalFormatting>
        <x14:conditionalFormatting xmlns:xm="http://schemas.microsoft.com/office/excel/2006/main">
          <x14:cfRule type="dataBar" id="{9D7DEA16-1E50-4B04-935B-176317DAEEB3}">
            <x14:dataBar minLength="0" maxLength="100" border="1" negativeBarBorderColorSameAsPositive="0">
              <x14:cfvo type="autoMin"/>
              <x14:cfvo type="autoMax"/>
              <x14:borderColor rgb="FFD6007B"/>
              <x14:negativeFillColor rgb="FFFF0000"/>
              <x14:negativeBorderColor rgb="FFFF0000"/>
              <x14:axisColor rgb="FF000000"/>
            </x14:dataBar>
          </x14:cfRule>
          <xm:sqref>H86 M86 E23:O23</xm:sqref>
        </x14:conditionalFormatting>
        <x14:conditionalFormatting xmlns:xm="http://schemas.microsoft.com/office/excel/2006/main">
          <x14:cfRule type="dataBar" id="{64D935CA-CA0C-4327-BF92-3F65954CE4A8}">
            <x14:dataBar minLength="0" maxLength="100" border="1" negativeBarBorderColorSameAsPositive="0">
              <x14:cfvo type="autoMin"/>
              <x14:cfvo type="autoMax"/>
              <x14:borderColor rgb="FF63C384"/>
              <x14:negativeFillColor rgb="FFFF0000"/>
              <x14:negativeBorderColor rgb="FFFF0000"/>
              <x14:axisColor rgb="FF000000"/>
            </x14:dataBar>
          </x14:cfRule>
          <xm:sqref>E64:O64</xm:sqref>
        </x14:conditionalFormatting>
        <x14:conditionalFormatting xmlns:xm="http://schemas.microsoft.com/office/excel/2006/main">
          <x14:cfRule type="dataBar" id="{2DF9A978-36EA-4841-A771-C678F899878E}">
            <x14:dataBar minLength="0" maxLength="100" border="1" negativeBarBorderColorSameAsPositive="0">
              <x14:cfvo type="autoMin"/>
              <x14:cfvo type="autoMax"/>
              <x14:borderColor rgb="FF008AEF"/>
              <x14:negativeFillColor rgb="FFFF0000"/>
              <x14:negativeBorderColor rgb="FFFF0000"/>
              <x14:axisColor rgb="FF000000"/>
            </x14:dataBar>
          </x14:cfRule>
          <xm:sqref>E64:O64</xm:sqref>
        </x14:conditionalFormatting>
        <x14:conditionalFormatting xmlns:xm="http://schemas.microsoft.com/office/excel/2006/main">
          <x14:cfRule type="dataBar" id="{BC400B80-C52E-4554-8486-609935C637E6}">
            <x14:dataBar minLength="0" maxLength="100" border="1" negativeBarBorderColorSameAsPositive="0">
              <x14:cfvo type="autoMin"/>
              <x14:cfvo type="autoMax"/>
              <x14:borderColor rgb="FF008AEF"/>
              <x14:negativeFillColor rgb="FFFF0000"/>
              <x14:negativeBorderColor rgb="FFFF0000"/>
              <x14:axisColor rgb="FF000000"/>
            </x14:dataBar>
          </x14:cfRule>
          <xm:sqref>E55:O55</xm:sqref>
        </x14:conditionalFormatting>
        <x14:conditionalFormatting xmlns:xm="http://schemas.microsoft.com/office/excel/2006/main">
          <x14:cfRule type="dataBar" id="{2FA0E699-2821-4DA8-8526-6D0C02AED1A9}">
            <x14:dataBar minLength="0" maxLength="100" border="1" negativeBarBorderColorSameAsPositive="0">
              <x14:cfvo type="autoMin"/>
              <x14:cfvo type="autoMax"/>
              <x14:borderColor rgb="FF63C384"/>
              <x14:negativeFillColor rgb="FFFF0000"/>
              <x14:negativeBorderColor rgb="FFFF0000"/>
              <x14:axisColor rgb="FF000000"/>
            </x14:dataBar>
          </x14:cfRule>
          <xm:sqref>E19:O19 E7:O7 E9:O9 E15:O15 E17:O17 E21:O21</xm:sqref>
        </x14:conditionalFormatting>
        <x14:conditionalFormatting xmlns:xm="http://schemas.microsoft.com/office/excel/2006/main">
          <x14:cfRule type="dataBar" id="{7BCB5685-7BB5-42B9-AF7F-64745C6373CF}">
            <x14:dataBar minLength="0" maxLength="100" border="1" negativeBarBorderColorSameAsPositive="0">
              <x14:cfvo type="autoMin"/>
              <x14:cfvo type="autoMax"/>
              <x14:borderColor rgb="FF008AEF"/>
              <x14:negativeFillColor rgb="FFFF0000"/>
              <x14:negativeBorderColor rgb="FFFF0000"/>
              <x14:axisColor rgb="FF000000"/>
            </x14:dataBar>
          </x14:cfRule>
          <xm:sqref>E18:O18 E8:O8 E14:O14 E16:O16 E22:O22 E20:O20</xm:sqref>
        </x14:conditionalFormatting>
        <x14:conditionalFormatting xmlns:xm="http://schemas.microsoft.com/office/excel/2006/main">
          <x14:cfRule type="dataBar" id="{8E612FAF-C97C-4BBC-9B70-0FFAB3F78C7C}">
            <x14:dataBar minLength="0" maxLength="100" border="1" negativeBarBorderColorSameAsPositive="0">
              <x14:cfvo type="autoMin"/>
              <x14:cfvo type="autoMax"/>
              <x14:borderColor rgb="FF63C384"/>
              <x14:negativeFillColor rgb="FFFF0000"/>
              <x14:negativeBorderColor rgb="FFFF0000"/>
              <x14:axisColor rgb="FF000000"/>
            </x14:dataBar>
          </x14:cfRule>
          <xm:sqref>E32:O32 E36:O36 E34:O34 E29:O29 E27:O27 E25:O25</xm:sqref>
        </x14:conditionalFormatting>
        <x14:conditionalFormatting xmlns:xm="http://schemas.microsoft.com/office/excel/2006/main">
          <x14:cfRule type="dataBar" id="{4008EAB2-CA4A-485B-8121-1E3D01859540}">
            <x14:dataBar minLength="0" maxLength="100" border="1" negativeBarBorderColorSameAsPositive="0">
              <x14:cfvo type="autoMin"/>
              <x14:cfvo type="autoMax"/>
              <x14:borderColor rgb="FF008AEF"/>
              <x14:negativeFillColor rgb="FFFF0000"/>
              <x14:negativeBorderColor rgb="FFFF0000"/>
              <x14:axisColor rgb="FF000000"/>
            </x14:dataBar>
          </x14:cfRule>
          <xm:sqref>E30:O30 E28:O28 E33:O33 E35:O35 E37:O37</xm:sqref>
        </x14:conditionalFormatting>
        <x14:conditionalFormatting xmlns:xm="http://schemas.microsoft.com/office/excel/2006/main">
          <x14:cfRule type="dataBar" id="{2D239CCE-E88C-4D70-B3C4-7FB01BFA7040}">
            <x14:dataBar minLength="0" maxLength="100" border="1" negativeBarBorderColorSameAsPositive="0">
              <x14:cfvo type="autoMin"/>
              <x14:cfvo type="autoMax"/>
              <x14:borderColor rgb="FF008AEF"/>
              <x14:negativeFillColor rgb="FFFF0000"/>
              <x14:negativeBorderColor rgb="FFFF0000"/>
              <x14:axisColor rgb="FF000000"/>
            </x14:dataBar>
          </x14:cfRule>
          <xm:sqref>E41:O41 E51:O51 E43:O43 E47:O47 E49:O49 E45:O45</xm:sqref>
        </x14:conditionalFormatting>
        <x14:conditionalFormatting xmlns:xm="http://schemas.microsoft.com/office/excel/2006/main">
          <x14:cfRule type="dataBar" id="{52D66F7E-4DAF-4F28-A12F-A720DFB17D93}">
            <x14:dataBar minLength="0" maxLength="100" border="1" negativeBarBorderColorSameAsPositive="0">
              <x14:cfvo type="autoMin"/>
              <x14:cfvo type="autoMax"/>
              <x14:borderColor rgb="FF008AEF"/>
              <x14:negativeFillColor rgb="FFFF0000"/>
              <x14:negativeBorderColor rgb="FFFF0000"/>
              <x14:axisColor rgb="FF000000"/>
            </x14:dataBar>
          </x14:cfRule>
          <xm:sqref>E55:O55 E57:O57 E59:O59</xm:sqref>
        </x14:conditionalFormatting>
        <x14:conditionalFormatting xmlns:xm="http://schemas.microsoft.com/office/excel/2006/main">
          <x14:cfRule type="dataBar" id="{6D74156F-529F-4460-8DB6-8DEBE0975D09}">
            <x14:dataBar minLength="0" maxLength="100" border="1" negativeBarBorderColorSameAsPositive="0">
              <x14:cfvo type="autoMin"/>
              <x14:cfvo type="autoMax"/>
              <x14:borderColor rgb="FF63C384"/>
              <x14:negativeFillColor rgb="FFFF0000"/>
              <x14:negativeBorderColor rgb="FFFF0000"/>
              <x14:axisColor rgb="FF000000"/>
            </x14:dataBar>
          </x14:cfRule>
          <xm:sqref>E50:O50 E42:O42 E48:O48 E46:O46 E44:O44 E40:O40</xm:sqref>
        </x14:conditionalFormatting>
        <x14:conditionalFormatting xmlns:xm="http://schemas.microsoft.com/office/excel/2006/main">
          <x14:cfRule type="dataBar" id="{4FD0C716-5225-430C-B58C-553563DAACBA}">
            <x14:dataBar minLength="0" maxLength="100" border="1" negativeBarBorderColorSameAsPositive="0">
              <x14:cfvo type="autoMin"/>
              <x14:cfvo type="autoMax"/>
              <x14:borderColor rgb="FF63C384"/>
              <x14:negativeFillColor rgb="FFFF0000"/>
              <x14:negativeBorderColor rgb="FFFF0000"/>
              <x14:axisColor rgb="FF000000"/>
            </x14:dataBar>
          </x14:cfRule>
          <xm:sqref>E56:O56 E58:O58 E54:O54</xm:sqref>
        </x14:conditionalFormatting>
        <x14:conditionalFormatting xmlns:xm="http://schemas.microsoft.com/office/excel/2006/main">
          <x14:cfRule type="dataBar" id="{D6B0E72F-294B-4C7D-A892-C93D56284680}">
            <x14:dataBar minLength="0" maxLength="100" border="1" negativeBarBorderColorSameAsPositive="0">
              <x14:cfvo type="autoMin"/>
              <x14:cfvo type="autoMax"/>
              <x14:borderColor rgb="FF63C384"/>
              <x14:negativeFillColor rgb="FFFF0000"/>
              <x14:negativeBorderColor rgb="FFFF0000"/>
              <x14:axisColor rgb="FF000000"/>
            </x14:dataBar>
          </x14:cfRule>
          <xm:sqref>E70:P85</xm:sqref>
        </x14:conditionalFormatting>
        <x14:conditionalFormatting xmlns:xm="http://schemas.microsoft.com/office/excel/2006/main">
          <x14:cfRule type="dataBar" id="{F8F092AC-B422-4BD3-BD29-759E0D946D6D}">
            <x14:dataBar minLength="0" maxLength="100" border="1" negativeBarBorderColorSameAsPositive="0">
              <x14:cfvo type="autoMin"/>
              <x14:cfvo type="autoMax"/>
              <x14:borderColor rgb="FF008AEF"/>
              <x14:negativeFillColor rgb="FFFF0000"/>
              <x14:negativeBorderColor rgb="FFFF0000"/>
              <x14:axisColor rgb="FF000000"/>
            </x14:dataBar>
          </x14:cfRule>
          <xm:sqref>E14:O14</xm:sqref>
        </x14:conditionalFormatting>
        <x14:conditionalFormatting xmlns:xm="http://schemas.microsoft.com/office/excel/2006/main">
          <x14:cfRule type="dataBar" id="{1D02578C-3B78-48F5-946F-08E9F66420AF}">
            <x14:dataBar minLength="0" maxLength="100" border="1" negativeBarBorderColorSameAsPositive="0">
              <x14:cfvo type="autoMin"/>
              <x14:cfvo type="autoMax"/>
              <x14:borderColor rgb="FF63C384"/>
              <x14:negativeFillColor rgb="FFFF0000"/>
              <x14:negativeBorderColor rgb="FFFF0000"/>
              <x14:axisColor rgb="FF000000"/>
            </x14:dataBar>
          </x14:cfRule>
          <xm:sqref>E25:O25 E36:O36 E34:O34 E32:O32 E29:O29</xm:sqref>
        </x14:conditionalFormatting>
        <x14:conditionalFormatting xmlns:xm="http://schemas.microsoft.com/office/excel/2006/main">
          <x14:cfRule type="dataBar" id="{5EB75438-8B94-4CD8-9425-8EE4DE207206}">
            <x14:dataBar minLength="0" maxLength="100" border="1" negativeBarBorderColorSameAsPositive="0">
              <x14:cfvo type="autoMin"/>
              <x14:cfvo type="autoMax"/>
              <x14:borderColor rgb="FF63C384"/>
              <x14:negativeFillColor rgb="FFFF0000"/>
              <x14:negativeBorderColor rgb="FFFF0000"/>
              <x14:axisColor rgb="FF000000"/>
            </x14:dataBar>
          </x14:cfRule>
          <xm:sqref>E54:O54</xm:sqref>
        </x14:conditionalFormatting>
        <x14:conditionalFormatting xmlns:xm="http://schemas.microsoft.com/office/excel/2006/main">
          <x14:cfRule type="dataBar" id="{29A22868-ED18-4DC8-973C-61687ECD3A51}">
            <x14:dataBar minLength="0" maxLength="100" border="1" negativeBarBorderColorSameAsPositive="0">
              <x14:cfvo type="autoMin"/>
              <x14:cfvo type="autoMax"/>
              <x14:borderColor rgb="FF63C384"/>
              <x14:negativeFillColor rgb="FFFF0000"/>
              <x14:negativeBorderColor rgb="FFFF0000"/>
              <x14:axisColor rgb="FF000000"/>
            </x14:dataBar>
          </x14:cfRule>
          <xm:sqref>E70:O70 E72:O72 E74:O74 E76:O76 E78:O78 E80:O80 E82:O82 E84:O84</xm:sqref>
        </x14:conditionalFormatting>
        <x14:conditionalFormatting xmlns:xm="http://schemas.microsoft.com/office/excel/2006/main">
          <x14:cfRule type="dataBar" id="{0679D526-8349-415E-94A2-1C703259F477}">
            <x14:dataBar minLength="0" maxLength="100" border="1" negativeBarBorderColorSameAsPositive="0">
              <x14:cfvo type="autoMin"/>
              <x14:cfvo type="autoMax"/>
              <x14:borderColor rgb="FF008AEF"/>
              <x14:negativeFillColor rgb="FFFF0000"/>
              <x14:negativeBorderColor rgb="FFFF0000"/>
              <x14:axisColor rgb="FF000000"/>
            </x14:dataBar>
          </x14:cfRule>
          <xm:sqref>E41:O41 E43:O43 E47:O47 E51:P51</xm:sqref>
        </x14:conditionalFormatting>
        <x14:conditionalFormatting xmlns:xm="http://schemas.microsoft.com/office/excel/2006/main">
          <x14:cfRule type="dataBar" id="{36F6BA4B-401A-4455-87BF-053D4435DA61}">
            <x14:dataBar minLength="0" maxLength="100" border="1" negativeBarBorderColorSameAsPositive="0">
              <x14:cfvo type="autoMin"/>
              <x14:cfvo type="autoMax"/>
              <x14:borderColor rgb="FF008AEF"/>
              <x14:negativeFillColor rgb="FFFF0000"/>
              <x14:negativeBorderColor rgb="FFFF0000"/>
              <x14:axisColor rgb="FF000000"/>
            </x14:dataBar>
          </x14:cfRule>
          <xm:sqref>E71:O71 E73:O73 E75:O75 E77:O77 E79:O79 E81:O81 E83:O83 E85:O85</xm:sqref>
        </x14:conditionalFormatting>
        <x14:conditionalFormatting xmlns:xm="http://schemas.microsoft.com/office/excel/2006/main">
          <x14:cfRule type="dataBar" id="{58F3EDDC-6729-4D01-A98C-1FC2624B23CB}">
            <x14:dataBar minLength="0" maxLength="100" border="1" negativeBarBorderColorSameAsPositive="0">
              <x14:cfvo type="autoMin"/>
              <x14:cfvo type="autoMax"/>
              <x14:borderColor rgb="FF008AEF"/>
              <x14:negativeFillColor rgb="FFFF0000"/>
              <x14:negativeBorderColor rgb="FFFF0000"/>
              <x14:axisColor rgb="FF000000"/>
            </x14:dataBar>
          </x14:cfRule>
          <xm:sqref>E26:O26</xm:sqref>
        </x14:conditionalFormatting>
        <x14:conditionalFormatting xmlns:xm="http://schemas.microsoft.com/office/excel/2006/main">
          <x14:cfRule type="dataBar" id="{A1923B66-31AF-42F3-BE8B-5E20814EE8C7}">
            <x14:dataBar minLength="0" maxLength="100" border="1" negativeBarBorderColorSameAsPositive="0">
              <x14:cfvo type="autoMin"/>
              <x14:cfvo type="autoMax"/>
              <x14:borderColor rgb="FF63C384"/>
              <x14:negativeFillColor rgb="FFFF0000"/>
              <x14:negativeBorderColor rgb="FFFF0000"/>
              <x14:axisColor rgb="FF000000"/>
            </x14:dataBar>
          </x14:cfRule>
          <xm:sqref>E31:O31</xm:sqref>
        </x14:conditionalFormatting>
        <x14:conditionalFormatting xmlns:xm="http://schemas.microsoft.com/office/excel/2006/main">
          <x14:cfRule type="dataBar" id="{A833D961-467B-4160-9B19-821A1011E9A9}">
            <x14:dataBar minLength="0" maxLength="100" border="1" negativeBarBorderColorSameAsPositive="0">
              <x14:cfvo type="autoMin"/>
              <x14:cfvo type="autoMax"/>
              <x14:borderColor rgb="FF008AEF"/>
              <x14:negativeFillColor rgb="FFFF0000"/>
              <x14:negativeBorderColor rgb="FFFF0000"/>
              <x14:axisColor rgb="FF000000"/>
            </x14:dataBar>
          </x14:cfRule>
          <xm:sqref>E32:O32</xm:sqref>
        </x14:conditionalFormatting>
        <x14:conditionalFormatting xmlns:xm="http://schemas.microsoft.com/office/excel/2006/main">
          <x14:cfRule type="dataBar" id="{58449C65-8A3B-4D75-823B-BE87CBA0C9CD}">
            <x14:dataBar minLength="0" maxLength="100" border="1" negativeBarBorderColorSameAsPositive="0">
              <x14:cfvo type="autoMin"/>
              <x14:cfvo type="autoMax"/>
              <x14:borderColor rgb="FF63C384"/>
              <x14:negativeFillColor rgb="FFFF0000"/>
              <x14:negativeBorderColor rgb="FFFF0000"/>
              <x14:axisColor rgb="FF000000"/>
            </x14:dataBar>
          </x14:cfRule>
          <xm:sqref>E33:O33</xm:sqref>
        </x14:conditionalFormatting>
        <x14:conditionalFormatting xmlns:xm="http://schemas.microsoft.com/office/excel/2006/main">
          <x14:cfRule type="dataBar" id="{00C67B84-FE75-451A-B509-C2B87B173E5A}">
            <x14:dataBar minLength="0" maxLength="100" border="1" negativeBarBorderColorSameAsPositive="0">
              <x14:cfvo type="autoMin"/>
              <x14:cfvo type="autoMax"/>
              <x14:borderColor rgb="FF008AEF"/>
              <x14:negativeFillColor rgb="FFFF0000"/>
              <x14:negativeBorderColor rgb="FFFF0000"/>
              <x14:axisColor rgb="FF000000"/>
            </x14:dataBar>
          </x14:cfRule>
          <xm:sqref>E34:O34</xm:sqref>
        </x14:conditionalFormatting>
        <x14:conditionalFormatting xmlns:xm="http://schemas.microsoft.com/office/excel/2006/main">
          <x14:cfRule type="dataBar" id="{7D3A20F7-36F6-43DF-895E-85948771BAC1}">
            <x14:dataBar minLength="0" maxLength="100" border="1" negativeBarBorderColorSameAsPositive="0">
              <x14:cfvo type="autoMin"/>
              <x14:cfvo type="autoMax"/>
              <x14:borderColor rgb="FF63C384"/>
              <x14:negativeFillColor rgb="FFFF0000"/>
              <x14:negativeBorderColor rgb="FFFF0000"/>
              <x14:axisColor rgb="FF000000"/>
            </x14:dataBar>
          </x14:cfRule>
          <xm:sqref>E35:O35</xm:sqref>
        </x14:conditionalFormatting>
        <x14:conditionalFormatting xmlns:xm="http://schemas.microsoft.com/office/excel/2006/main">
          <x14:cfRule type="dataBar" id="{0C9D1B45-8BA9-438F-A3D7-DCA708DADD3C}">
            <x14:dataBar minLength="0" maxLength="100" border="1" negativeBarBorderColorSameAsPositive="0">
              <x14:cfvo type="autoMin"/>
              <x14:cfvo type="autoMax"/>
              <x14:borderColor rgb="FF008AEF"/>
              <x14:negativeFillColor rgb="FFFF0000"/>
              <x14:negativeBorderColor rgb="FFFF0000"/>
              <x14:axisColor rgb="FF000000"/>
            </x14:dataBar>
          </x14:cfRule>
          <xm:sqref>E36:O36</xm:sqref>
        </x14:conditionalFormatting>
        <x14:conditionalFormatting xmlns:xm="http://schemas.microsoft.com/office/excel/2006/main">
          <x14:cfRule type="dataBar" id="{381B8EAB-B60B-452A-9A26-F9F84E4C55FD}">
            <x14:dataBar minLength="0" maxLength="100" border="1" negativeBarBorderColorSameAsPositive="0">
              <x14:cfvo type="autoMin"/>
              <x14:cfvo type="autoMax"/>
              <x14:borderColor rgb="FF63C384"/>
              <x14:negativeFillColor rgb="FFFF0000"/>
              <x14:negativeBorderColor rgb="FFFF0000"/>
              <x14:axisColor rgb="FF000000"/>
            </x14:dataBar>
          </x14:cfRule>
          <xm:sqref>E37:O37</xm:sqref>
        </x14:conditionalFormatting>
        <x14:conditionalFormatting xmlns:xm="http://schemas.microsoft.com/office/excel/2006/main">
          <x14:cfRule type="dataBar" id="{6FBCFDC0-0A34-4D7A-AE84-545FB7CEE102}">
            <x14:dataBar minLength="0" maxLength="100" border="1" negativeBarBorderColorSameAsPositive="0">
              <x14:cfvo type="autoMin"/>
              <x14:cfvo type="autoMax"/>
              <x14:borderColor rgb="FF63C384"/>
              <x14:negativeFillColor rgb="FFFF0000"/>
              <x14:negativeBorderColor rgb="FFFF0000"/>
              <x14:axisColor rgb="FF000000"/>
            </x14:dataBar>
          </x14:cfRule>
          <xm:sqref>E61:O61</xm:sqref>
        </x14:conditionalFormatting>
        <x14:conditionalFormatting xmlns:xm="http://schemas.microsoft.com/office/excel/2006/main">
          <x14:cfRule type="dataBar" id="{1EBE1612-4796-4304-8235-5A0F21F4F1A5}">
            <x14:dataBar minLength="0" maxLength="100" border="1" negativeBarBorderColorSameAsPositive="0">
              <x14:cfvo type="autoMin"/>
              <x14:cfvo type="autoMax"/>
              <x14:borderColor rgb="FF008AEF"/>
              <x14:negativeFillColor rgb="FFFF0000"/>
              <x14:negativeBorderColor rgb="FFFF0000"/>
              <x14:axisColor rgb="FF000000"/>
            </x14:dataBar>
          </x14:cfRule>
          <xm:sqref>E66:O66</xm:sqref>
        </x14:conditionalFormatting>
        <x14:conditionalFormatting xmlns:xm="http://schemas.microsoft.com/office/excel/2006/main">
          <x14:cfRule type="dataBar" id="{43435DD7-A7C2-4D66-AC88-20DAD2ACC181}">
            <x14:dataBar minLength="0" maxLength="100" border="1" negativeBarBorderColorSameAsPositive="0">
              <x14:cfvo type="autoMin"/>
              <x14:cfvo type="autoMax"/>
              <x14:borderColor rgb="FF63C384"/>
              <x14:negativeFillColor rgb="FFFF0000"/>
              <x14:negativeBorderColor rgb="FFFF0000"/>
              <x14:axisColor rgb="FF000000"/>
            </x14:dataBar>
          </x14:cfRule>
          <xm:sqref>E68:O68</xm:sqref>
        </x14:conditionalFormatting>
        <x14:conditionalFormatting xmlns:xm="http://schemas.microsoft.com/office/excel/2006/main">
          <x14:cfRule type="dataBar" id="{B70E1693-208B-4957-9CE8-AD2FD6CC8A1A}">
            <x14:dataBar minLength="0" maxLength="100" border="1" negativeBarBorderColorSameAsPositive="0">
              <x14:cfvo type="autoMin"/>
              <x14:cfvo type="autoMax"/>
              <x14:borderColor rgb="FF008AEF"/>
              <x14:negativeFillColor rgb="FFFF0000"/>
              <x14:negativeBorderColor rgb="FFFF0000"/>
              <x14:axisColor rgb="FF000000"/>
            </x14:dataBar>
          </x14:cfRule>
          <xm:sqref>E73:O73</xm:sqref>
        </x14:conditionalFormatting>
        <x14:conditionalFormatting xmlns:xm="http://schemas.microsoft.com/office/excel/2006/main">
          <x14:cfRule type="dataBar" id="{6433F7DF-D6A4-48B2-9DCC-9A43AC4988F7}">
            <x14:dataBar minLength="0" maxLength="100" border="1" negativeBarBorderColorSameAsPositive="0">
              <x14:cfvo type="autoMin"/>
              <x14:cfvo type="autoMax"/>
              <x14:borderColor rgb="FF008AEF"/>
              <x14:negativeFillColor rgb="FFFF0000"/>
              <x14:negativeBorderColor rgb="FFFF0000"/>
              <x14:axisColor rgb="FF000000"/>
            </x14:dataBar>
          </x14:cfRule>
          <xm:sqref>E75:O75</xm:sqref>
        </x14:conditionalFormatting>
        <x14:conditionalFormatting xmlns:xm="http://schemas.microsoft.com/office/excel/2006/main">
          <x14:cfRule type="dataBar" id="{9DCBBE15-50DB-49AC-90FF-7889BD2AA05D}">
            <x14:dataBar minLength="0" maxLength="100" border="1" negativeBarBorderColorSameAsPositive="0">
              <x14:cfvo type="autoMin"/>
              <x14:cfvo type="autoMax"/>
              <x14:borderColor rgb="FF008AEF"/>
              <x14:negativeFillColor rgb="FFFF0000"/>
              <x14:negativeBorderColor rgb="FFFF0000"/>
              <x14:axisColor rgb="FF000000"/>
            </x14:dataBar>
          </x14:cfRule>
          <xm:sqref>E77:O77</xm:sqref>
        </x14:conditionalFormatting>
        <x14:conditionalFormatting xmlns:xm="http://schemas.microsoft.com/office/excel/2006/main">
          <x14:cfRule type="dataBar" id="{D3073B5A-FE10-4080-BAF9-2570B934BD8F}">
            <x14:dataBar minLength="0" maxLength="100" border="1" negativeBarBorderColorSameAsPositive="0">
              <x14:cfvo type="autoMin"/>
              <x14:cfvo type="autoMax"/>
              <x14:borderColor rgb="FF008AEF"/>
              <x14:negativeFillColor rgb="FFFF0000"/>
              <x14:negativeBorderColor rgb="FFFF0000"/>
              <x14:axisColor rgb="FF000000"/>
            </x14:dataBar>
          </x14:cfRule>
          <xm:sqref>E79:O79</xm:sqref>
        </x14:conditionalFormatting>
        <x14:conditionalFormatting xmlns:xm="http://schemas.microsoft.com/office/excel/2006/main">
          <x14:cfRule type="dataBar" id="{1548A7D6-FDC5-4016-9765-7D4D2A39A0AB}">
            <x14:dataBar minLength="0" maxLength="100" border="1" negativeBarBorderColorSameAsPositive="0">
              <x14:cfvo type="autoMin"/>
              <x14:cfvo type="autoMax"/>
              <x14:borderColor rgb="FF008AEF"/>
              <x14:negativeFillColor rgb="FFFF0000"/>
              <x14:negativeBorderColor rgb="FFFF0000"/>
              <x14:axisColor rgb="FF000000"/>
            </x14:dataBar>
          </x14:cfRule>
          <xm:sqref>E81:O81</xm:sqref>
        </x14:conditionalFormatting>
        <x14:conditionalFormatting xmlns:xm="http://schemas.microsoft.com/office/excel/2006/main">
          <x14:cfRule type="dataBar" id="{ED904D31-6D60-4947-BEC4-872A60921513}">
            <x14:dataBar minLength="0" maxLength="100" border="1" negativeBarBorderColorSameAsPositive="0">
              <x14:cfvo type="autoMin"/>
              <x14:cfvo type="autoMax"/>
              <x14:borderColor rgb="FF008AEF"/>
              <x14:negativeFillColor rgb="FFFF0000"/>
              <x14:negativeBorderColor rgb="FFFF0000"/>
              <x14:axisColor rgb="FF000000"/>
            </x14:dataBar>
          </x14:cfRule>
          <xm:sqref>E83:O83</xm:sqref>
        </x14:conditionalFormatting>
        <x14:conditionalFormatting xmlns:xm="http://schemas.microsoft.com/office/excel/2006/main">
          <x14:cfRule type="dataBar" id="{31555E7D-85ED-40ED-9A90-39D635F4970C}">
            <x14:dataBar minLength="0" maxLength="100" border="1" negativeBarBorderColorSameAsPositive="0">
              <x14:cfvo type="autoMin"/>
              <x14:cfvo type="autoMax"/>
              <x14:borderColor rgb="FF008AEF"/>
              <x14:negativeFillColor rgb="FFFF0000"/>
              <x14:negativeBorderColor rgb="FFFF0000"/>
              <x14:axisColor rgb="FF000000"/>
            </x14:dataBar>
          </x14:cfRule>
          <xm:sqref>E85:O85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I81"/>
  <sheetViews>
    <sheetView view="pageBreakPreview" zoomScale="60" zoomScaleNormal="100" workbookViewId="0">
      <pane ySplit="4" topLeftCell="A11" activePane="bottomLeft" state="frozen"/>
      <selection activeCell="K22" sqref="K22"/>
      <selection pane="bottomLeft" activeCell="F78" sqref="F78"/>
    </sheetView>
  </sheetViews>
  <sheetFormatPr defaultColWidth="8.85546875" defaultRowHeight="14.25" x14ac:dyDescent="0.2"/>
  <cols>
    <col min="1" max="2" width="8.85546875" style="22"/>
    <col min="3" max="3" width="109.28515625" style="22" bestFit="1" customWidth="1"/>
    <col min="4" max="4" width="12" style="22" bestFit="1" customWidth="1"/>
    <col min="5" max="5" width="12.7109375" style="22" bestFit="1" customWidth="1"/>
    <col min="6" max="6" width="19.7109375" style="22" bestFit="1" customWidth="1"/>
    <col min="7" max="7" width="19.140625" style="22" bestFit="1" customWidth="1"/>
    <col min="8" max="8" width="30.85546875" style="22" bestFit="1" customWidth="1"/>
    <col min="9" max="9" width="22.7109375" style="22" bestFit="1" customWidth="1"/>
    <col min="10" max="16384" width="8.85546875" style="22"/>
  </cols>
  <sheetData>
    <row r="2" spans="2:9" ht="20.25" x14ac:dyDescent="0.3">
      <c r="B2" s="53" t="s">
        <v>81</v>
      </c>
    </row>
    <row r="3" spans="2:9" ht="15" x14ac:dyDescent="0.25">
      <c r="B3" s="30"/>
    </row>
    <row r="4" spans="2:9" ht="45" x14ac:dyDescent="0.25">
      <c r="B4" s="23" t="s">
        <v>496</v>
      </c>
      <c r="C4" s="23" t="s">
        <v>3</v>
      </c>
      <c r="D4" s="42" t="s">
        <v>655</v>
      </c>
      <c r="E4" s="43" t="s">
        <v>656</v>
      </c>
      <c r="F4" s="50" t="s">
        <v>649</v>
      </c>
      <c r="G4" s="50" t="s">
        <v>650</v>
      </c>
      <c r="H4" s="50" t="s">
        <v>651</v>
      </c>
      <c r="I4" s="50" t="s">
        <v>652</v>
      </c>
    </row>
    <row r="5" spans="2:9" s="30" customFormat="1" ht="15" x14ac:dyDescent="0.25">
      <c r="B5" s="23" t="s">
        <v>84</v>
      </c>
      <c r="C5" s="23" t="s">
        <v>85</v>
      </c>
      <c r="D5" s="23"/>
      <c r="E5" s="44"/>
      <c r="F5" s="23"/>
      <c r="G5" s="23"/>
      <c r="H5" s="23"/>
      <c r="I5" s="23"/>
    </row>
    <row r="6" spans="2:9" s="30" customFormat="1" ht="15" x14ac:dyDescent="0.25">
      <c r="B6" s="23" t="s">
        <v>86</v>
      </c>
      <c r="C6" s="23" t="s">
        <v>87</v>
      </c>
      <c r="D6" s="23"/>
      <c r="E6" s="44"/>
      <c r="F6" s="23"/>
      <c r="G6" s="23"/>
      <c r="H6" s="23"/>
      <c r="I6" s="23"/>
    </row>
    <row r="7" spans="2:9" x14ac:dyDescent="0.2">
      <c r="B7" s="24" t="s">
        <v>88</v>
      </c>
      <c r="C7" s="24" t="s">
        <v>89</v>
      </c>
      <c r="D7" s="31">
        <v>0</v>
      </c>
      <c r="E7" s="45">
        <f>2000/100</f>
        <v>20</v>
      </c>
      <c r="F7" s="51">
        <v>0</v>
      </c>
      <c r="G7" s="51">
        <v>0</v>
      </c>
      <c r="H7" s="26">
        <f>F7*D7</f>
        <v>0</v>
      </c>
      <c r="I7" s="26">
        <f>G7*E7</f>
        <v>0</v>
      </c>
    </row>
    <row r="8" spans="2:9" x14ac:dyDescent="0.2">
      <c r="B8" s="24" t="s">
        <v>90</v>
      </c>
      <c r="C8" s="24" t="s">
        <v>91</v>
      </c>
      <c r="D8" s="31">
        <v>0</v>
      </c>
      <c r="E8" s="45">
        <f>100/100</f>
        <v>1</v>
      </c>
      <c r="F8" s="51">
        <v>0</v>
      </c>
      <c r="G8" s="51">
        <v>0</v>
      </c>
      <c r="H8" s="26">
        <f t="shared" ref="H8:H24" si="0">F8*D8</f>
        <v>0</v>
      </c>
      <c r="I8" s="26">
        <f t="shared" ref="I8:I37" si="1">G8*E8</f>
        <v>0</v>
      </c>
    </row>
    <row r="9" spans="2:9" x14ac:dyDescent="0.2">
      <c r="B9" s="24" t="s">
        <v>92</v>
      </c>
      <c r="C9" s="24" t="s">
        <v>93</v>
      </c>
      <c r="D9" s="31">
        <v>0</v>
      </c>
      <c r="E9" s="45">
        <f>150/100</f>
        <v>1.5</v>
      </c>
      <c r="F9" s="51">
        <v>0</v>
      </c>
      <c r="G9" s="51">
        <v>0</v>
      </c>
      <c r="H9" s="26">
        <f t="shared" si="0"/>
        <v>0</v>
      </c>
      <c r="I9" s="26">
        <f t="shared" si="1"/>
        <v>0</v>
      </c>
    </row>
    <row r="10" spans="2:9" s="30" customFormat="1" ht="15" x14ac:dyDescent="0.25">
      <c r="B10" s="23" t="s">
        <v>94</v>
      </c>
      <c r="C10" s="23" t="s">
        <v>95</v>
      </c>
      <c r="D10" s="32"/>
      <c r="E10" s="46"/>
      <c r="F10" s="51"/>
      <c r="G10" s="51"/>
      <c r="H10" s="26"/>
      <c r="I10" s="26"/>
    </row>
    <row r="11" spans="2:9" x14ac:dyDescent="0.2">
      <c r="B11" s="24" t="s">
        <v>96</v>
      </c>
      <c r="C11" s="24" t="s">
        <v>97</v>
      </c>
      <c r="D11" s="31">
        <v>0</v>
      </c>
      <c r="E11" s="45">
        <f>2666/100</f>
        <v>26.66</v>
      </c>
      <c r="F11" s="51">
        <v>0</v>
      </c>
      <c r="G11" s="51">
        <v>0.1</v>
      </c>
      <c r="H11" s="26">
        <f t="shared" si="0"/>
        <v>0</v>
      </c>
      <c r="I11" s="26">
        <f t="shared" si="1"/>
        <v>2.6660000000000004</v>
      </c>
    </row>
    <row r="12" spans="2:9" x14ac:dyDescent="0.2">
      <c r="B12" s="24" t="s">
        <v>98</v>
      </c>
      <c r="C12" s="24" t="s">
        <v>99</v>
      </c>
      <c r="D12" s="31">
        <v>0</v>
      </c>
      <c r="E12" s="45">
        <f>1701/100</f>
        <v>17.010000000000002</v>
      </c>
      <c r="F12" s="51">
        <v>0</v>
      </c>
      <c r="G12" s="51">
        <v>0.1</v>
      </c>
      <c r="H12" s="26">
        <f t="shared" si="0"/>
        <v>0</v>
      </c>
      <c r="I12" s="26">
        <f t="shared" si="1"/>
        <v>1.7010000000000003</v>
      </c>
    </row>
    <row r="13" spans="2:9" x14ac:dyDescent="0.2">
      <c r="B13" s="24" t="s">
        <v>100</v>
      </c>
      <c r="C13" s="24" t="s">
        <v>101</v>
      </c>
      <c r="D13" s="31">
        <v>0</v>
      </c>
      <c r="E13" s="45">
        <f>1572.5/100</f>
        <v>15.725</v>
      </c>
      <c r="F13" s="51">
        <v>0</v>
      </c>
      <c r="G13" s="51">
        <v>0.1</v>
      </c>
      <c r="H13" s="26">
        <f t="shared" si="0"/>
        <v>0</v>
      </c>
      <c r="I13" s="26">
        <f t="shared" si="1"/>
        <v>1.5725</v>
      </c>
    </row>
    <row r="14" spans="2:9" s="30" customFormat="1" ht="15" x14ac:dyDescent="0.25">
      <c r="B14" s="23" t="s">
        <v>102</v>
      </c>
      <c r="C14" s="23" t="s">
        <v>103</v>
      </c>
      <c r="D14" s="32"/>
      <c r="E14" s="46"/>
      <c r="F14" s="51"/>
      <c r="G14" s="51"/>
      <c r="H14" s="26"/>
      <c r="I14" s="26"/>
    </row>
    <row r="15" spans="2:9" x14ac:dyDescent="0.2">
      <c r="B15" s="24" t="s">
        <v>104</v>
      </c>
      <c r="C15" s="24" t="s">
        <v>105</v>
      </c>
      <c r="D15" s="31">
        <f>2315/100</f>
        <v>23.15</v>
      </c>
      <c r="E15" s="45">
        <f>9260/100</f>
        <v>92.6</v>
      </c>
      <c r="F15" s="51">
        <v>0</v>
      </c>
      <c r="G15" s="51">
        <v>0.15</v>
      </c>
      <c r="H15" s="26">
        <f t="shared" si="0"/>
        <v>0</v>
      </c>
      <c r="I15" s="26">
        <f t="shared" si="1"/>
        <v>13.889999999999999</v>
      </c>
    </row>
    <row r="16" spans="2:9" x14ac:dyDescent="0.2">
      <c r="B16" s="24" t="s">
        <v>106</v>
      </c>
      <c r="C16" s="24" t="s">
        <v>107</v>
      </c>
      <c r="D16" s="31">
        <f>2500/100</f>
        <v>25</v>
      </c>
      <c r="E16" s="45">
        <f>10000/100</f>
        <v>100</v>
      </c>
      <c r="F16" s="51">
        <v>0</v>
      </c>
      <c r="G16" s="51">
        <v>0.15</v>
      </c>
      <c r="H16" s="26">
        <f t="shared" si="0"/>
        <v>0</v>
      </c>
      <c r="I16" s="26">
        <f t="shared" si="1"/>
        <v>15</v>
      </c>
    </row>
    <row r="17" spans="2:9" x14ac:dyDescent="0.2">
      <c r="B17" s="24" t="s">
        <v>108</v>
      </c>
      <c r="C17" s="24" t="s">
        <v>109</v>
      </c>
      <c r="D17" s="31">
        <f>2800/100</f>
        <v>28</v>
      </c>
      <c r="E17" s="45">
        <f>4200/100</f>
        <v>42</v>
      </c>
      <c r="F17" s="51">
        <v>0</v>
      </c>
      <c r="G17" s="51">
        <v>0.15</v>
      </c>
      <c r="H17" s="26">
        <f t="shared" si="0"/>
        <v>0</v>
      </c>
      <c r="I17" s="26">
        <f t="shared" si="1"/>
        <v>6.3</v>
      </c>
    </row>
    <row r="18" spans="2:9" s="30" customFormat="1" ht="15" x14ac:dyDescent="0.25">
      <c r="B18" s="23" t="s">
        <v>110</v>
      </c>
      <c r="C18" s="23" t="s">
        <v>111</v>
      </c>
      <c r="D18" s="32"/>
      <c r="E18" s="46"/>
      <c r="F18" s="51"/>
      <c r="G18" s="51"/>
      <c r="H18" s="26"/>
      <c r="I18" s="26"/>
    </row>
    <row r="19" spans="2:9" x14ac:dyDescent="0.2">
      <c r="B19" s="24" t="s">
        <v>112</v>
      </c>
      <c r="C19" s="24" t="s">
        <v>113</v>
      </c>
      <c r="D19" s="35">
        <v>0</v>
      </c>
      <c r="E19" s="45">
        <f>150/100</f>
        <v>1.5</v>
      </c>
      <c r="F19" s="51">
        <v>0</v>
      </c>
      <c r="G19" s="51">
        <v>0.1</v>
      </c>
      <c r="H19" s="26">
        <f t="shared" si="0"/>
        <v>0</v>
      </c>
      <c r="I19" s="26">
        <f t="shared" si="1"/>
        <v>0.15000000000000002</v>
      </c>
    </row>
    <row r="20" spans="2:9" x14ac:dyDescent="0.2">
      <c r="B20" s="24" t="s">
        <v>114</v>
      </c>
      <c r="C20" s="24" t="s">
        <v>115</v>
      </c>
      <c r="D20" s="35">
        <v>0</v>
      </c>
      <c r="E20" s="45">
        <f>764/100</f>
        <v>7.64</v>
      </c>
      <c r="F20" s="51">
        <v>0</v>
      </c>
      <c r="G20" s="51">
        <v>0.1</v>
      </c>
      <c r="H20" s="26">
        <f t="shared" si="0"/>
        <v>0</v>
      </c>
      <c r="I20" s="26">
        <f t="shared" si="1"/>
        <v>0.76400000000000001</v>
      </c>
    </row>
    <row r="21" spans="2:9" x14ac:dyDescent="0.2">
      <c r="B21" s="24" t="s">
        <v>116</v>
      </c>
      <c r="C21" s="24" t="s">
        <v>117</v>
      </c>
      <c r="D21" s="35">
        <v>0</v>
      </c>
      <c r="E21" s="45">
        <f>860/100</f>
        <v>8.6</v>
      </c>
      <c r="F21" s="51">
        <v>0</v>
      </c>
      <c r="G21" s="51">
        <v>0</v>
      </c>
      <c r="H21" s="26">
        <f t="shared" si="0"/>
        <v>0</v>
      </c>
      <c r="I21" s="26">
        <f t="shared" si="1"/>
        <v>0</v>
      </c>
    </row>
    <row r="22" spans="2:9" x14ac:dyDescent="0.2">
      <c r="B22" s="24" t="s">
        <v>118</v>
      </c>
      <c r="C22" s="24" t="s">
        <v>119</v>
      </c>
      <c r="D22" s="35">
        <v>0</v>
      </c>
      <c r="E22" s="45">
        <f>250/100</f>
        <v>2.5</v>
      </c>
      <c r="F22" s="51">
        <v>0</v>
      </c>
      <c r="G22" s="51">
        <v>0</v>
      </c>
      <c r="H22" s="26">
        <f t="shared" si="0"/>
        <v>0</v>
      </c>
      <c r="I22" s="26">
        <f t="shared" si="1"/>
        <v>0</v>
      </c>
    </row>
    <row r="23" spans="2:9" x14ac:dyDescent="0.2">
      <c r="B23" s="24" t="s">
        <v>120</v>
      </c>
      <c r="C23" s="24" t="s">
        <v>121</v>
      </c>
      <c r="D23" s="35">
        <v>0</v>
      </c>
      <c r="E23" s="45">
        <f>2077/100</f>
        <v>20.77</v>
      </c>
      <c r="F23" s="51">
        <v>0</v>
      </c>
      <c r="G23" s="51">
        <v>0</v>
      </c>
      <c r="H23" s="26">
        <f t="shared" si="0"/>
        <v>0</v>
      </c>
      <c r="I23" s="26">
        <f t="shared" si="1"/>
        <v>0</v>
      </c>
    </row>
    <row r="24" spans="2:9" x14ac:dyDescent="0.2">
      <c r="B24" s="24" t="s">
        <v>122</v>
      </c>
      <c r="C24" s="24" t="s">
        <v>123</v>
      </c>
      <c r="D24" s="35">
        <v>0</v>
      </c>
      <c r="E24" s="45">
        <f>150/100</f>
        <v>1.5</v>
      </c>
      <c r="F24" s="51">
        <v>0</v>
      </c>
      <c r="G24" s="51">
        <v>0.1</v>
      </c>
      <c r="H24" s="26">
        <f t="shared" si="0"/>
        <v>0</v>
      </c>
      <c r="I24" s="26">
        <f t="shared" si="1"/>
        <v>0.15000000000000002</v>
      </c>
    </row>
    <row r="25" spans="2:9" s="30" customFormat="1" ht="15" x14ac:dyDescent="0.25">
      <c r="B25" s="23"/>
      <c r="C25" s="23" t="s">
        <v>124</v>
      </c>
      <c r="D25" s="32">
        <f>D15+D16+D17</f>
        <v>76.150000000000006</v>
      </c>
      <c r="E25" s="46">
        <f>SUM(E7:E24)</f>
        <v>359.005</v>
      </c>
      <c r="F25" s="52"/>
      <c r="G25" s="52"/>
      <c r="H25" s="28">
        <f>SUM(H7:H24)</f>
        <v>0</v>
      </c>
      <c r="I25" s="28">
        <f>SUM(I7:I24)</f>
        <v>42.193499999999993</v>
      </c>
    </row>
    <row r="26" spans="2:9" x14ac:dyDescent="0.2">
      <c r="B26" s="24" t="s">
        <v>125</v>
      </c>
      <c r="C26" s="24" t="s">
        <v>126</v>
      </c>
      <c r="D26" s="24"/>
      <c r="E26" s="47"/>
      <c r="F26" s="24"/>
      <c r="G26" s="24"/>
      <c r="H26" s="26"/>
      <c r="I26" s="26"/>
    </row>
    <row r="27" spans="2:9" x14ac:dyDescent="0.2">
      <c r="B27" s="24" t="s">
        <v>127</v>
      </c>
      <c r="C27" s="24" t="s">
        <v>128</v>
      </c>
      <c r="D27" s="35">
        <v>0</v>
      </c>
      <c r="E27" s="48">
        <f>3696/100</f>
        <v>36.96</v>
      </c>
      <c r="F27" s="51">
        <v>0</v>
      </c>
      <c r="G27" s="51">
        <f>I27/E27</f>
        <v>0.44212499999999999</v>
      </c>
      <c r="H27" s="26">
        <f>F27*D27</f>
        <v>0</v>
      </c>
      <c r="I27" s="26">
        <f>(1693+1109+119+616)*46200/10000000</f>
        <v>16.34094</v>
      </c>
    </row>
    <row r="28" spans="2:9" x14ac:dyDescent="0.2">
      <c r="B28" s="24" t="s">
        <v>129</v>
      </c>
      <c r="C28" s="24" t="s">
        <v>130</v>
      </c>
      <c r="D28" s="35">
        <v>0</v>
      </c>
      <c r="E28" s="48">
        <f>1575/100</f>
        <v>15.75</v>
      </c>
      <c r="F28" s="51">
        <v>0</v>
      </c>
      <c r="G28" s="51">
        <v>0</v>
      </c>
      <c r="H28" s="26">
        <f>F28*D28</f>
        <v>0</v>
      </c>
      <c r="I28" s="26">
        <f t="shared" si="1"/>
        <v>0</v>
      </c>
    </row>
    <row r="29" spans="2:9" x14ac:dyDescent="0.2">
      <c r="B29" s="24" t="s">
        <v>132</v>
      </c>
      <c r="C29" s="24" t="s">
        <v>133</v>
      </c>
      <c r="D29" s="35">
        <v>0</v>
      </c>
      <c r="E29" s="48">
        <f>2800/100</f>
        <v>28</v>
      </c>
      <c r="F29" s="51">
        <v>0</v>
      </c>
      <c r="G29" s="51">
        <f>I29/E29</f>
        <v>0.44212499999999999</v>
      </c>
      <c r="H29" s="26">
        <f>F29*D29</f>
        <v>0</v>
      </c>
      <c r="I29" s="26">
        <f>(1693+1109+119+616)*35000/10000000</f>
        <v>12.3795</v>
      </c>
    </row>
    <row r="30" spans="2:9" x14ac:dyDescent="0.2">
      <c r="B30" s="24" t="s">
        <v>134</v>
      </c>
      <c r="C30" s="24" t="s">
        <v>135</v>
      </c>
      <c r="D30" s="35">
        <v>0</v>
      </c>
      <c r="E30" s="48">
        <f>791/100</f>
        <v>7.91</v>
      </c>
      <c r="F30" s="51">
        <v>0</v>
      </c>
      <c r="G30" s="51">
        <v>0.44</v>
      </c>
      <c r="H30" s="26">
        <f t="shared" ref="H30:H37" si="2">F30*D30</f>
        <v>0</v>
      </c>
      <c r="I30" s="26">
        <f t="shared" si="1"/>
        <v>3.4803999999999999</v>
      </c>
    </row>
    <row r="31" spans="2:9" x14ac:dyDescent="0.2">
      <c r="B31" s="24" t="s">
        <v>136</v>
      </c>
      <c r="C31" s="24" t="s">
        <v>137</v>
      </c>
      <c r="D31" s="35">
        <v>0</v>
      </c>
      <c r="E31" s="48">
        <f>160/100</f>
        <v>1.6</v>
      </c>
      <c r="F31" s="51">
        <v>0</v>
      </c>
      <c r="G31" s="51">
        <v>0.4</v>
      </c>
      <c r="H31" s="26">
        <f t="shared" si="2"/>
        <v>0</v>
      </c>
      <c r="I31" s="26">
        <f t="shared" si="1"/>
        <v>0.64000000000000012</v>
      </c>
    </row>
    <row r="32" spans="2:9" x14ac:dyDescent="0.2">
      <c r="B32" s="24" t="s">
        <v>138</v>
      </c>
      <c r="C32" s="24" t="s">
        <v>139</v>
      </c>
      <c r="D32" s="35">
        <v>0</v>
      </c>
      <c r="E32" s="48">
        <f>150/100</f>
        <v>1.5</v>
      </c>
      <c r="F32" s="51">
        <v>0</v>
      </c>
      <c r="G32" s="51">
        <v>0</v>
      </c>
      <c r="H32" s="26">
        <f t="shared" si="2"/>
        <v>0</v>
      </c>
      <c r="I32" s="26">
        <f t="shared" si="1"/>
        <v>0</v>
      </c>
    </row>
    <row r="33" spans="2:9" x14ac:dyDescent="0.2">
      <c r="B33" s="24" t="s">
        <v>141</v>
      </c>
      <c r="C33" s="24" t="s">
        <v>142</v>
      </c>
      <c r="D33" s="35">
        <v>0</v>
      </c>
      <c r="E33" s="48">
        <f>350/100</f>
        <v>3.5</v>
      </c>
      <c r="F33" s="51">
        <v>0</v>
      </c>
      <c r="G33" s="51">
        <v>0</v>
      </c>
      <c r="H33" s="26">
        <f t="shared" si="2"/>
        <v>0</v>
      </c>
      <c r="I33" s="26">
        <f t="shared" si="1"/>
        <v>0</v>
      </c>
    </row>
    <row r="34" spans="2:9" x14ac:dyDescent="0.2">
      <c r="B34" s="24" t="s">
        <v>143</v>
      </c>
      <c r="C34" s="24" t="s">
        <v>144</v>
      </c>
      <c r="D34" s="35">
        <v>0</v>
      </c>
      <c r="E34" s="48">
        <f>462/100</f>
        <v>4.62</v>
      </c>
      <c r="F34" s="51">
        <v>0</v>
      </c>
      <c r="G34" s="51">
        <v>0</v>
      </c>
      <c r="H34" s="26">
        <f t="shared" si="2"/>
        <v>0</v>
      </c>
      <c r="I34" s="26">
        <f t="shared" si="1"/>
        <v>0</v>
      </c>
    </row>
    <row r="35" spans="2:9" x14ac:dyDescent="0.2">
      <c r="B35" s="24" t="s">
        <v>145</v>
      </c>
      <c r="C35" s="24" t="s">
        <v>146</v>
      </c>
      <c r="D35" s="35">
        <v>0</v>
      </c>
      <c r="E35" s="48">
        <f>280/100</f>
        <v>2.8</v>
      </c>
      <c r="F35" s="51">
        <v>0</v>
      </c>
      <c r="G35" s="51">
        <v>0.1</v>
      </c>
      <c r="H35" s="26">
        <f t="shared" si="2"/>
        <v>0</v>
      </c>
      <c r="I35" s="26">
        <f t="shared" si="1"/>
        <v>0.27999999999999997</v>
      </c>
    </row>
    <row r="36" spans="2:9" x14ac:dyDescent="0.2">
      <c r="B36" s="24">
        <v>2.13</v>
      </c>
      <c r="C36" s="24" t="s">
        <v>147</v>
      </c>
      <c r="D36" s="35">
        <v>0</v>
      </c>
      <c r="E36" s="48">
        <f>650/100</f>
        <v>6.5</v>
      </c>
      <c r="F36" s="51">
        <v>0</v>
      </c>
      <c r="G36" s="51">
        <v>0.6</v>
      </c>
      <c r="H36" s="26">
        <f t="shared" si="2"/>
        <v>0</v>
      </c>
      <c r="I36" s="26">
        <f t="shared" si="1"/>
        <v>3.9</v>
      </c>
    </row>
    <row r="37" spans="2:9" ht="15" x14ac:dyDescent="0.25">
      <c r="B37" s="24"/>
      <c r="C37" s="23" t="s">
        <v>148</v>
      </c>
      <c r="D37" s="33">
        <v>0</v>
      </c>
      <c r="E37" s="49">
        <f>SUM(E27:E36)</f>
        <v>109.14</v>
      </c>
      <c r="F37" s="51">
        <v>0</v>
      </c>
      <c r="G37" s="51">
        <v>0</v>
      </c>
      <c r="H37" s="26">
        <f t="shared" si="2"/>
        <v>0</v>
      </c>
      <c r="I37" s="26">
        <f t="shared" si="1"/>
        <v>0</v>
      </c>
    </row>
    <row r="38" spans="2:9" s="30" customFormat="1" ht="15" x14ac:dyDescent="0.25">
      <c r="B38" s="23"/>
      <c r="C38" s="23" t="s">
        <v>149</v>
      </c>
      <c r="D38" s="33">
        <f>D25</f>
        <v>76.150000000000006</v>
      </c>
      <c r="E38" s="49">
        <f>E25+E37</f>
        <v>468.14499999999998</v>
      </c>
      <c r="F38" s="52"/>
      <c r="G38" s="52"/>
      <c r="H38" s="28">
        <f>SUM(H27:H37)</f>
        <v>0</v>
      </c>
      <c r="I38" s="28">
        <f>SUM(I27:I37)</f>
        <v>37.02084</v>
      </c>
    </row>
    <row r="39" spans="2:9" x14ac:dyDescent="0.2">
      <c r="B39" s="24" t="s">
        <v>150</v>
      </c>
      <c r="C39" s="24" t="s">
        <v>151</v>
      </c>
      <c r="D39" s="24"/>
      <c r="E39" s="47"/>
      <c r="F39" s="24"/>
      <c r="G39" s="24"/>
      <c r="H39" s="26"/>
      <c r="I39" s="26"/>
    </row>
    <row r="40" spans="2:9" x14ac:dyDescent="0.2">
      <c r="B40" s="24" t="s">
        <v>152</v>
      </c>
      <c r="C40" s="24" t="s">
        <v>153</v>
      </c>
      <c r="D40" s="31">
        <v>0</v>
      </c>
      <c r="E40" s="45">
        <f>960/100</f>
        <v>9.6</v>
      </c>
      <c r="F40" s="51">
        <v>0</v>
      </c>
      <c r="G40" s="51">
        <v>0</v>
      </c>
      <c r="H40" s="26">
        <f t="shared" ref="H40:H44" si="3">F40*D40</f>
        <v>0</v>
      </c>
      <c r="I40" s="26">
        <f t="shared" ref="I40:I44" si="4">G40*E40</f>
        <v>0</v>
      </c>
    </row>
    <row r="41" spans="2:9" x14ac:dyDescent="0.2">
      <c r="B41" s="24" t="s">
        <v>154</v>
      </c>
      <c r="C41" s="24" t="s">
        <v>155</v>
      </c>
      <c r="D41" s="31">
        <v>0</v>
      </c>
      <c r="E41" s="45">
        <f>1505/100</f>
        <v>15.05</v>
      </c>
      <c r="F41" s="51">
        <v>0</v>
      </c>
      <c r="G41" s="51">
        <v>0</v>
      </c>
      <c r="H41" s="26">
        <f t="shared" si="3"/>
        <v>0</v>
      </c>
      <c r="I41" s="26">
        <f t="shared" si="4"/>
        <v>0</v>
      </c>
    </row>
    <row r="42" spans="2:9" x14ac:dyDescent="0.2">
      <c r="B42" s="24" t="s">
        <v>156</v>
      </c>
      <c r="C42" s="24" t="s">
        <v>157</v>
      </c>
      <c r="D42" s="31">
        <v>0</v>
      </c>
      <c r="E42" s="45">
        <f>627/100</f>
        <v>6.27</v>
      </c>
      <c r="F42" s="51">
        <v>0</v>
      </c>
      <c r="G42" s="51">
        <v>0</v>
      </c>
      <c r="H42" s="26">
        <f t="shared" si="3"/>
        <v>0</v>
      </c>
      <c r="I42" s="26">
        <f t="shared" si="4"/>
        <v>0</v>
      </c>
    </row>
    <row r="43" spans="2:9" x14ac:dyDescent="0.2">
      <c r="B43" s="24">
        <v>3.4</v>
      </c>
      <c r="C43" s="24" t="s">
        <v>158</v>
      </c>
      <c r="D43" s="31">
        <v>2.5</v>
      </c>
      <c r="E43" s="45">
        <f>481/100</f>
        <v>4.8099999999999996</v>
      </c>
      <c r="F43" s="51">
        <v>0</v>
      </c>
      <c r="G43" s="51">
        <v>0</v>
      </c>
      <c r="H43" s="26">
        <f t="shared" si="3"/>
        <v>0</v>
      </c>
      <c r="I43" s="26">
        <f t="shared" si="4"/>
        <v>0</v>
      </c>
    </row>
    <row r="44" spans="2:9" x14ac:dyDescent="0.2">
      <c r="B44" s="24">
        <v>3.5</v>
      </c>
      <c r="C44" s="24" t="s">
        <v>159</v>
      </c>
      <c r="D44" s="31">
        <v>0</v>
      </c>
      <c r="E44" s="45">
        <f>2457/100</f>
        <v>24.57</v>
      </c>
      <c r="F44" s="51">
        <v>0</v>
      </c>
      <c r="G44" s="51">
        <v>0</v>
      </c>
      <c r="H44" s="26">
        <f t="shared" si="3"/>
        <v>0</v>
      </c>
      <c r="I44" s="26">
        <f t="shared" si="4"/>
        <v>0</v>
      </c>
    </row>
    <row r="45" spans="2:9" s="30" customFormat="1" ht="15" x14ac:dyDescent="0.25">
      <c r="B45" s="23"/>
      <c r="C45" s="23" t="s">
        <v>160</v>
      </c>
      <c r="D45" s="32">
        <f>D43</f>
        <v>2.5</v>
      </c>
      <c r="E45" s="46">
        <f>SUM(E40:E44)</f>
        <v>60.3</v>
      </c>
      <c r="F45" s="23"/>
      <c r="G45" s="23"/>
      <c r="H45" s="28">
        <f>SUM(H40:H44)</f>
        <v>0</v>
      </c>
      <c r="I45" s="28">
        <f>SUM(I40:I44)</f>
        <v>0</v>
      </c>
    </row>
    <row r="46" spans="2:9" s="30" customFormat="1" ht="15" x14ac:dyDescent="0.25">
      <c r="B46" s="23"/>
      <c r="C46" s="23" t="s">
        <v>161</v>
      </c>
      <c r="D46" s="32">
        <f>D38+D43</f>
        <v>78.650000000000006</v>
      </c>
      <c r="E46" s="46">
        <f>E38+E45</f>
        <v>528.44499999999994</v>
      </c>
      <c r="F46" s="28"/>
      <c r="G46" s="23"/>
      <c r="H46" s="28">
        <f>H45+H38+H25</f>
        <v>0</v>
      </c>
      <c r="I46" s="28">
        <f>I45+I38+I25</f>
        <v>79.214339999999993</v>
      </c>
    </row>
    <row r="47" spans="2:9" x14ac:dyDescent="0.2">
      <c r="B47" s="24" t="s">
        <v>162</v>
      </c>
      <c r="C47" s="280" t="s">
        <v>163</v>
      </c>
      <c r="D47" s="281"/>
      <c r="E47" s="281"/>
      <c r="F47" s="24"/>
      <c r="G47" s="24"/>
      <c r="H47" s="24"/>
      <c r="I47" s="24"/>
    </row>
    <row r="48" spans="2:9" ht="15" x14ac:dyDescent="0.25">
      <c r="B48" s="24" t="s">
        <v>164</v>
      </c>
      <c r="C48" s="23" t="s">
        <v>165</v>
      </c>
      <c r="D48" s="278"/>
      <c r="E48" s="279"/>
      <c r="F48" s="24"/>
      <c r="G48" s="24"/>
      <c r="H48" s="24"/>
      <c r="I48" s="24"/>
    </row>
    <row r="49" spans="2:9" s="30" customFormat="1" ht="15" x14ac:dyDescent="0.25">
      <c r="B49" s="23" t="s">
        <v>166</v>
      </c>
      <c r="C49" s="23" t="s">
        <v>653</v>
      </c>
      <c r="D49" s="284">
        <f>D46</f>
        <v>78.650000000000006</v>
      </c>
      <c r="E49" s="285"/>
      <c r="F49" s="28">
        <f>H46</f>
        <v>0</v>
      </c>
      <c r="G49" s="23"/>
      <c r="H49" s="23"/>
      <c r="I49" s="23"/>
    </row>
    <row r="50" spans="2:9" x14ac:dyDescent="0.2">
      <c r="B50" s="24" t="s">
        <v>167</v>
      </c>
      <c r="C50" s="24" t="s">
        <v>168</v>
      </c>
      <c r="D50" s="282">
        <f>471.9/100</f>
        <v>4.7189999999999994</v>
      </c>
      <c r="E50" s="283"/>
      <c r="F50" s="24">
        <f>F49*0.06</f>
        <v>0</v>
      </c>
      <c r="G50" s="24"/>
      <c r="H50" s="24"/>
      <c r="I50" s="24"/>
    </row>
    <row r="51" spans="2:9" x14ac:dyDescent="0.2">
      <c r="B51" s="24" t="s">
        <v>169</v>
      </c>
      <c r="C51" s="24" t="s">
        <v>170</v>
      </c>
      <c r="D51" s="282">
        <f>625.2675/100</f>
        <v>6.252675</v>
      </c>
      <c r="E51" s="283"/>
      <c r="F51" s="24">
        <f>(F50+F49)*7.5</f>
        <v>0</v>
      </c>
      <c r="G51" s="24"/>
      <c r="H51" s="24"/>
      <c r="I51" s="24"/>
    </row>
    <row r="52" spans="2:9" x14ac:dyDescent="0.2">
      <c r="B52" s="24" t="s">
        <v>171</v>
      </c>
      <c r="C52" s="24" t="s">
        <v>172</v>
      </c>
      <c r="D52" s="282">
        <f>1613.19015/100</f>
        <v>16.131901499999998</v>
      </c>
      <c r="E52" s="283"/>
      <c r="F52" s="24">
        <f>(F49+F50+F51)*18%</f>
        <v>0</v>
      </c>
      <c r="G52" s="24"/>
      <c r="H52" s="24"/>
      <c r="I52" s="24"/>
    </row>
    <row r="53" spans="2:9" x14ac:dyDescent="0.2">
      <c r="B53" s="24" t="s">
        <v>173</v>
      </c>
      <c r="C53" s="24" t="s">
        <v>174</v>
      </c>
      <c r="D53" s="282">
        <f>416.845/100</f>
        <v>4.16845</v>
      </c>
      <c r="E53" s="283"/>
      <c r="F53" s="24">
        <f>(F49+F50)*5%</f>
        <v>0</v>
      </c>
      <c r="G53" s="24"/>
      <c r="H53" s="24"/>
      <c r="I53" s="24"/>
    </row>
    <row r="54" spans="2:9" ht="15" x14ac:dyDescent="0.25">
      <c r="B54" s="24" t="s">
        <v>175</v>
      </c>
      <c r="C54" s="23" t="s">
        <v>176</v>
      </c>
      <c r="D54" s="284">
        <f>SUM(D49:D53)</f>
        <v>109.92202649999999</v>
      </c>
      <c r="E54" s="285"/>
      <c r="F54" s="26">
        <f>F49+F50+F51+F52+F53</f>
        <v>0</v>
      </c>
      <c r="G54" s="24"/>
      <c r="H54" s="24"/>
      <c r="I54" s="24"/>
    </row>
    <row r="55" spans="2:9" ht="15" x14ac:dyDescent="0.25">
      <c r="B55" s="24" t="s">
        <v>177</v>
      </c>
      <c r="C55" s="23" t="s">
        <v>178</v>
      </c>
      <c r="D55" s="278"/>
      <c r="E55" s="279"/>
      <c r="F55" s="24"/>
      <c r="G55" s="24"/>
      <c r="H55" s="24"/>
      <c r="I55" s="24"/>
    </row>
    <row r="56" spans="2:9" x14ac:dyDescent="0.2">
      <c r="B56" s="24" t="s">
        <v>179</v>
      </c>
      <c r="C56" s="24" t="s">
        <v>654</v>
      </c>
      <c r="D56" s="282">
        <f>52844.5/100</f>
        <v>528.44500000000005</v>
      </c>
      <c r="E56" s="283"/>
      <c r="F56" s="26">
        <f>I46</f>
        <v>79.214339999999993</v>
      </c>
      <c r="G56" s="24"/>
      <c r="H56" s="24"/>
      <c r="I56" s="24"/>
    </row>
    <row r="57" spans="2:9" x14ac:dyDescent="0.2">
      <c r="B57" s="24" t="s">
        <v>181</v>
      </c>
      <c r="C57" s="24" t="s">
        <v>182</v>
      </c>
      <c r="D57" s="278">
        <f>9512.01/100</f>
        <v>95.120100000000008</v>
      </c>
      <c r="E57" s="279"/>
      <c r="F57" s="26">
        <f>F56*0.18</f>
        <v>14.258581199999998</v>
      </c>
      <c r="G57" s="24"/>
      <c r="H57" s="24"/>
      <c r="I57" s="24"/>
    </row>
    <row r="58" spans="2:9" x14ac:dyDescent="0.2">
      <c r="B58" s="24" t="s">
        <v>183</v>
      </c>
      <c r="C58" s="24" t="s">
        <v>184</v>
      </c>
      <c r="D58" s="282">
        <f>2642.225/100</f>
        <v>26.422249999999998</v>
      </c>
      <c r="E58" s="283"/>
      <c r="F58" s="26">
        <f>F56*5%</f>
        <v>3.9607169999999998</v>
      </c>
      <c r="G58" s="24"/>
      <c r="H58" s="24"/>
      <c r="I58" s="24"/>
    </row>
    <row r="59" spans="2:9" ht="15" x14ac:dyDescent="0.25">
      <c r="B59" s="24" t="s">
        <v>175</v>
      </c>
      <c r="C59" s="23" t="s">
        <v>185</v>
      </c>
      <c r="D59" s="284">
        <f>D56+D57+D58</f>
        <v>649.98734999999999</v>
      </c>
      <c r="E59" s="285"/>
      <c r="F59" s="26">
        <f>F56+F57+F58</f>
        <v>97.43363819999999</v>
      </c>
      <c r="G59" s="24"/>
      <c r="H59" s="24"/>
      <c r="I59" s="24"/>
    </row>
    <row r="60" spans="2:9" ht="15" x14ac:dyDescent="0.25">
      <c r="B60" s="24"/>
      <c r="C60" s="23" t="s">
        <v>186</v>
      </c>
      <c r="D60" s="284">
        <f>D54+D59</f>
        <v>759.90937650000001</v>
      </c>
      <c r="E60" s="285"/>
      <c r="F60" s="26">
        <f>F54+F59</f>
        <v>97.43363819999999</v>
      </c>
      <c r="G60" s="24"/>
      <c r="H60" s="24"/>
      <c r="I60" s="24"/>
    </row>
    <row r="61" spans="2:9" x14ac:dyDescent="0.2">
      <c r="B61" s="24" t="s">
        <v>187</v>
      </c>
      <c r="C61" s="24" t="s">
        <v>188</v>
      </c>
      <c r="D61" s="282">
        <f>3035.475/100</f>
        <v>30.354749999999999</v>
      </c>
      <c r="E61" s="283"/>
      <c r="F61" s="26">
        <f>F60*5%</f>
        <v>4.8716819099999995</v>
      </c>
      <c r="G61" s="24"/>
      <c r="H61" s="24"/>
      <c r="I61" s="24"/>
    </row>
    <row r="62" spans="2:9" x14ac:dyDescent="0.2">
      <c r="B62" s="24" t="s">
        <v>189</v>
      </c>
      <c r="C62" s="24" t="s">
        <v>190</v>
      </c>
      <c r="D62" s="282">
        <f>1600/100</f>
        <v>16</v>
      </c>
      <c r="E62" s="283"/>
      <c r="F62" s="26">
        <f>(1693+1109+119+616)*20000/10000000</f>
        <v>7.0739999999999998</v>
      </c>
      <c r="G62" s="24"/>
      <c r="H62" s="24"/>
      <c r="I62" s="24"/>
    </row>
    <row r="63" spans="2:9" x14ac:dyDescent="0.2">
      <c r="B63" s="24" t="s">
        <v>191</v>
      </c>
      <c r="C63" s="24" t="s">
        <v>192</v>
      </c>
      <c r="D63" s="278">
        <f>7285.14/100</f>
        <v>72.851399999999998</v>
      </c>
      <c r="E63" s="279"/>
      <c r="F63" s="26">
        <f>(H46+I46)*12%</f>
        <v>9.5057207999999989</v>
      </c>
      <c r="G63" s="24"/>
      <c r="H63" s="24"/>
      <c r="I63" s="24"/>
    </row>
    <row r="64" spans="2:9" x14ac:dyDescent="0.2">
      <c r="B64" s="24" t="s">
        <v>193</v>
      </c>
      <c r="C64" s="24" t="s">
        <v>194</v>
      </c>
      <c r="D64" s="282">
        <f>1599.3252/100</f>
        <v>15.993252</v>
      </c>
      <c r="E64" s="283"/>
      <c r="F64" s="26">
        <f>(F62+F63)*18%</f>
        <v>2.9843497439999993</v>
      </c>
      <c r="G64" s="24"/>
      <c r="H64" s="24"/>
      <c r="I64" s="24"/>
    </row>
    <row r="65" spans="2:9" ht="15" x14ac:dyDescent="0.25">
      <c r="B65" s="24"/>
      <c r="C65" s="23" t="s">
        <v>195</v>
      </c>
      <c r="D65" s="284">
        <f>D60+D61+D62+D63+D64</f>
        <v>895.10877849999997</v>
      </c>
      <c r="E65" s="285"/>
      <c r="F65" s="26">
        <f>SUM(F60:F64)</f>
        <v>121.86939065399999</v>
      </c>
      <c r="G65" s="24"/>
      <c r="H65" s="24"/>
      <c r="I65" s="24"/>
    </row>
    <row r="66" spans="2:9" ht="15" x14ac:dyDescent="0.25">
      <c r="B66" s="24" t="s">
        <v>196</v>
      </c>
      <c r="C66" s="23" t="s">
        <v>197</v>
      </c>
      <c r="D66" s="284">
        <f>D65</f>
        <v>895.10877849999997</v>
      </c>
      <c r="E66" s="285"/>
      <c r="F66" s="26">
        <f>F65</f>
        <v>121.86939065399999</v>
      </c>
      <c r="G66" s="24"/>
      <c r="H66" s="24"/>
      <c r="I66" s="24"/>
    </row>
    <row r="67" spans="2:9" ht="15" x14ac:dyDescent="0.25">
      <c r="B67" s="24" t="s">
        <v>198</v>
      </c>
      <c r="C67" s="23" t="s">
        <v>199</v>
      </c>
      <c r="D67" s="284">
        <f>12724.52535/100</f>
        <v>127.2452535</v>
      </c>
      <c r="E67" s="285"/>
      <c r="F67" s="26">
        <f>F66*0.18</f>
        <v>21.936490317719997</v>
      </c>
      <c r="G67" s="24"/>
      <c r="H67" s="24"/>
      <c r="I67" s="24"/>
    </row>
    <row r="68" spans="2:9" s="30" customFormat="1" ht="15" x14ac:dyDescent="0.25">
      <c r="B68" s="23" t="s">
        <v>200</v>
      </c>
      <c r="C68" s="23" t="s">
        <v>201</v>
      </c>
      <c r="D68" s="284">
        <f>76786.3525/100</f>
        <v>767.86352499999998</v>
      </c>
      <c r="E68" s="285"/>
      <c r="F68" s="28">
        <f>F66-F67</f>
        <v>99.932900336279985</v>
      </c>
      <c r="G68" s="23"/>
      <c r="H68" s="23"/>
      <c r="I68" s="23"/>
    </row>
    <row r="69" spans="2:9" ht="15" x14ac:dyDescent="0.25">
      <c r="B69" s="24"/>
      <c r="C69" s="24"/>
      <c r="D69" s="276">
        <f>D67+D68</f>
        <v>895.10877849999997</v>
      </c>
      <c r="E69" s="277"/>
      <c r="F69" s="28">
        <f>F68+F67</f>
        <v>121.86939065399999</v>
      </c>
      <c r="G69" s="24"/>
      <c r="H69" s="24" t="s">
        <v>657</v>
      </c>
      <c r="I69" s="24"/>
    </row>
    <row r="70" spans="2:9" ht="15" x14ac:dyDescent="0.25">
      <c r="E70" s="37">
        <f>F69/D69</f>
        <v>0.1361503691855481</v>
      </c>
    </row>
    <row r="72" spans="2:9" x14ac:dyDescent="0.2">
      <c r="D72" s="38"/>
      <c r="E72" s="22">
        <v>1168</v>
      </c>
    </row>
    <row r="73" spans="2:9" x14ac:dyDescent="0.2">
      <c r="E73" s="252">
        <v>0.85</v>
      </c>
    </row>
    <row r="74" spans="2:9" x14ac:dyDescent="0.2">
      <c r="C74" s="22" t="s">
        <v>668</v>
      </c>
      <c r="E74" s="22">
        <f>E73*E72</f>
        <v>992.8</v>
      </c>
    </row>
    <row r="75" spans="2:9" x14ac:dyDescent="0.2">
      <c r="E75" s="22">
        <v>300</v>
      </c>
      <c r="F75" s="252"/>
    </row>
    <row r="76" spans="2:9" x14ac:dyDescent="0.2">
      <c r="E76" s="22">
        <v>30</v>
      </c>
      <c r="F76" s="252">
        <v>0.18</v>
      </c>
    </row>
    <row r="77" spans="2:9" x14ac:dyDescent="0.2">
      <c r="E77" s="22">
        <f>E76+E75+E74</f>
        <v>1322.8</v>
      </c>
      <c r="F77" s="252">
        <v>0.1</v>
      </c>
    </row>
    <row r="78" spans="2:9" x14ac:dyDescent="0.2">
      <c r="E78" s="22">
        <f>E77*(1+F76)</f>
        <v>1560.9039999999998</v>
      </c>
    </row>
    <row r="79" spans="2:9" x14ac:dyDescent="0.2">
      <c r="E79" s="22">
        <v>424</v>
      </c>
    </row>
    <row r="80" spans="2:9" x14ac:dyDescent="0.2">
      <c r="E80" s="22">
        <f>E79+E78</f>
        <v>1984.9039999999998</v>
      </c>
    </row>
    <row r="81" spans="5:5" x14ac:dyDescent="0.2">
      <c r="E81" s="22">
        <f>E80*(1+F77)</f>
        <v>2183.3944000000001</v>
      </c>
    </row>
  </sheetData>
  <mergeCells count="23">
    <mergeCell ref="D54:E54"/>
    <mergeCell ref="D62:E62"/>
    <mergeCell ref="D61:E61"/>
    <mergeCell ref="D60:E60"/>
    <mergeCell ref="D59:E59"/>
    <mergeCell ref="D58:E58"/>
    <mergeCell ref="D57:E57"/>
    <mergeCell ref="D69:E69"/>
    <mergeCell ref="D63:E63"/>
    <mergeCell ref="C47:E47"/>
    <mergeCell ref="D53:E53"/>
    <mergeCell ref="D52:E52"/>
    <mergeCell ref="D51:E51"/>
    <mergeCell ref="D50:E50"/>
    <mergeCell ref="D49:E49"/>
    <mergeCell ref="D48:E48"/>
    <mergeCell ref="D68:E68"/>
    <mergeCell ref="D67:E67"/>
    <mergeCell ref="D66:E66"/>
    <mergeCell ref="D65:E65"/>
    <mergeCell ref="D64:E64"/>
    <mergeCell ref="D56:E56"/>
    <mergeCell ref="D55:E55"/>
  </mergeCells>
  <pageMargins left="0.25" right="0.25" top="0.75" bottom="0.75" header="0.3" footer="0.3"/>
  <pageSetup paperSize="9" scale="60" fitToHeight="0" orientation="landscape" r:id="rId1"/>
  <rowBreaks count="1" manualBreakCount="1">
    <brk id="38" min="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3"/>
  <sheetViews>
    <sheetView workbookViewId="0">
      <selection activeCell="D6" sqref="D6"/>
    </sheetView>
  </sheetViews>
  <sheetFormatPr defaultRowHeight="15" x14ac:dyDescent="0.25"/>
  <cols>
    <col min="1" max="1" width="4.5703125" customWidth="1"/>
    <col min="2" max="2" width="47.85546875" customWidth="1"/>
    <col min="3" max="3" width="9.5703125" bestFit="1" customWidth="1"/>
    <col min="4" max="4" width="12.85546875" bestFit="1" customWidth="1"/>
  </cols>
  <sheetData>
    <row r="1" spans="1:4" x14ac:dyDescent="0.25">
      <c r="D1" t="s">
        <v>202</v>
      </c>
    </row>
    <row r="2" spans="1:4" x14ac:dyDescent="0.25">
      <c r="A2" s="2" t="s">
        <v>203</v>
      </c>
    </row>
    <row r="3" spans="1:4" x14ac:dyDescent="0.25">
      <c r="A3" s="3" t="s">
        <v>1</v>
      </c>
    </row>
    <row r="4" spans="1:4" x14ac:dyDescent="0.25">
      <c r="A4" s="4" t="s">
        <v>2</v>
      </c>
      <c r="B4" s="4" t="s">
        <v>3</v>
      </c>
      <c r="C4" s="4" t="s">
        <v>82</v>
      </c>
      <c r="D4" s="4" t="s">
        <v>83</v>
      </c>
    </row>
    <row r="5" spans="1:4" x14ac:dyDescent="0.25">
      <c r="A5" s="1">
        <v>1</v>
      </c>
      <c r="B5" s="1" t="s">
        <v>204</v>
      </c>
      <c r="C5" s="8" t="s">
        <v>47</v>
      </c>
      <c r="D5" s="7"/>
    </row>
    <row r="6" spans="1:4" x14ac:dyDescent="0.25">
      <c r="A6" s="1" t="s">
        <v>86</v>
      </c>
      <c r="B6" s="1" t="s">
        <v>205</v>
      </c>
      <c r="C6" s="8" t="s">
        <v>47</v>
      </c>
      <c r="D6" s="7">
        <f>2250/100</f>
        <v>22.5</v>
      </c>
    </row>
    <row r="7" spans="1:4" x14ac:dyDescent="0.25">
      <c r="A7" s="1" t="s">
        <v>94</v>
      </c>
      <c r="B7" s="1" t="s">
        <v>206</v>
      </c>
      <c r="C7" s="8" t="s">
        <v>47</v>
      </c>
      <c r="D7" s="7">
        <f>100/100</f>
        <v>1</v>
      </c>
    </row>
    <row r="8" spans="1:4" x14ac:dyDescent="0.25">
      <c r="A8" s="1" t="s">
        <v>102</v>
      </c>
      <c r="B8" s="1" t="s">
        <v>207</v>
      </c>
      <c r="C8" s="8" t="s">
        <v>47</v>
      </c>
      <c r="D8" s="7">
        <f>490/100</f>
        <v>4.9000000000000004</v>
      </c>
    </row>
    <row r="9" spans="1:4" x14ac:dyDescent="0.25">
      <c r="A9" s="1">
        <v>1.4</v>
      </c>
      <c r="B9" s="1" t="s">
        <v>208</v>
      </c>
      <c r="C9" s="8" t="s">
        <v>47</v>
      </c>
      <c r="D9" s="7">
        <f>225/100</f>
        <v>2.25</v>
      </c>
    </row>
    <row r="10" spans="1:4" x14ac:dyDescent="0.25">
      <c r="A10" s="1" t="s">
        <v>209</v>
      </c>
      <c r="B10" s="1" t="s">
        <v>210</v>
      </c>
      <c r="C10" s="8" t="s">
        <v>47</v>
      </c>
      <c r="D10" s="7">
        <f>587/100</f>
        <v>5.87</v>
      </c>
    </row>
    <row r="11" spans="1:4" x14ac:dyDescent="0.25">
      <c r="A11" s="1" t="s">
        <v>211</v>
      </c>
      <c r="B11" s="1" t="s">
        <v>212</v>
      </c>
      <c r="C11" s="8" t="s">
        <v>47</v>
      </c>
      <c r="D11" s="7">
        <f>661/100</f>
        <v>6.61</v>
      </c>
    </row>
    <row r="12" spans="1:4" x14ac:dyDescent="0.25">
      <c r="A12" s="1" t="s">
        <v>213</v>
      </c>
      <c r="B12" s="1" t="s">
        <v>214</v>
      </c>
      <c r="C12" s="8" t="s">
        <v>47</v>
      </c>
      <c r="D12" s="7">
        <f>544/100</f>
        <v>5.44</v>
      </c>
    </row>
    <row r="13" spans="1:4" x14ac:dyDescent="0.25">
      <c r="A13" s="1" t="s">
        <v>215</v>
      </c>
      <c r="B13" s="1" t="s">
        <v>216</v>
      </c>
      <c r="C13" s="8" t="s">
        <v>47</v>
      </c>
      <c r="D13" s="7">
        <f>445/100</f>
        <v>4.45</v>
      </c>
    </row>
    <row r="14" spans="1:4" x14ac:dyDescent="0.25">
      <c r="A14" s="1" t="s">
        <v>217</v>
      </c>
      <c r="B14" s="1" t="s">
        <v>218</v>
      </c>
      <c r="C14" s="8" t="s">
        <v>47</v>
      </c>
      <c r="D14" s="7">
        <f>709/100</f>
        <v>7.09</v>
      </c>
    </row>
    <row r="15" spans="1:4" x14ac:dyDescent="0.25">
      <c r="A15" s="1" t="s">
        <v>219</v>
      </c>
      <c r="B15" s="1" t="s">
        <v>220</v>
      </c>
      <c r="C15" s="8" t="s">
        <v>47</v>
      </c>
      <c r="D15" s="7">
        <f>180/100</f>
        <v>1.8</v>
      </c>
    </row>
    <row r="16" spans="1:4" x14ac:dyDescent="0.25">
      <c r="A16" s="1">
        <v>1.1100000000000001</v>
      </c>
      <c r="B16" s="1" t="s">
        <v>221</v>
      </c>
      <c r="C16" s="8"/>
      <c r="D16" s="7">
        <f>180/100</f>
        <v>1.8</v>
      </c>
    </row>
    <row r="17" spans="1:4" x14ac:dyDescent="0.25">
      <c r="A17" s="1" t="s">
        <v>222</v>
      </c>
      <c r="B17" s="1" t="s">
        <v>223</v>
      </c>
      <c r="C17" s="8"/>
      <c r="D17" s="7">
        <f>180/100</f>
        <v>1.8</v>
      </c>
    </row>
    <row r="18" spans="1:4" x14ac:dyDescent="0.25">
      <c r="A18" s="1" t="s">
        <v>224</v>
      </c>
      <c r="B18" s="1" t="s">
        <v>225</v>
      </c>
      <c r="C18" s="8" t="s">
        <v>47</v>
      </c>
      <c r="D18" s="7">
        <f>600/100</f>
        <v>6</v>
      </c>
    </row>
    <row r="19" spans="1:4" x14ac:dyDescent="0.25">
      <c r="A19" s="1" t="s">
        <v>226</v>
      </c>
      <c r="B19" s="1" t="s">
        <v>227</v>
      </c>
      <c r="C19" s="8" t="s">
        <v>47</v>
      </c>
      <c r="D19" s="7">
        <f>1818/100</f>
        <v>18.18</v>
      </c>
    </row>
    <row r="20" spans="1:4" x14ac:dyDescent="0.25">
      <c r="A20" s="1" t="s">
        <v>228</v>
      </c>
      <c r="B20" s="1" t="s">
        <v>229</v>
      </c>
      <c r="C20" s="8" t="s">
        <v>47</v>
      </c>
      <c r="D20" s="7">
        <f>372/100</f>
        <v>3.72</v>
      </c>
    </row>
    <row r="21" spans="1:4" x14ac:dyDescent="0.25">
      <c r="A21" s="1" t="s">
        <v>230</v>
      </c>
      <c r="B21" s="1" t="s">
        <v>231</v>
      </c>
      <c r="C21" s="8" t="s">
        <v>47</v>
      </c>
      <c r="D21" s="7">
        <f>83/100</f>
        <v>0.83</v>
      </c>
    </row>
    <row r="22" spans="1:4" x14ac:dyDescent="0.25">
      <c r="A22" s="1" t="s">
        <v>232</v>
      </c>
      <c r="B22" s="1" t="s">
        <v>233</v>
      </c>
      <c r="C22" s="8" t="s">
        <v>47</v>
      </c>
      <c r="D22" s="7">
        <f>143/100</f>
        <v>1.43</v>
      </c>
    </row>
    <row r="23" spans="1:4" x14ac:dyDescent="0.25">
      <c r="A23" s="1" t="s">
        <v>234</v>
      </c>
      <c r="B23" s="1" t="s">
        <v>235</v>
      </c>
      <c r="C23" s="8" t="s">
        <v>47</v>
      </c>
      <c r="D23" s="7">
        <f>185/100</f>
        <v>1.85</v>
      </c>
    </row>
    <row r="24" spans="1:4" x14ac:dyDescent="0.25">
      <c r="A24" s="1">
        <v>1.19</v>
      </c>
      <c r="B24" s="1" t="s">
        <v>236</v>
      </c>
      <c r="C24" s="8" t="s">
        <v>47</v>
      </c>
      <c r="D24" s="7">
        <f>74/100</f>
        <v>0.74</v>
      </c>
    </row>
    <row r="25" spans="1:4" x14ac:dyDescent="0.25">
      <c r="A25" s="1">
        <v>1.2</v>
      </c>
      <c r="B25" s="1" t="s">
        <v>237</v>
      </c>
      <c r="C25" s="8" t="s">
        <v>47</v>
      </c>
      <c r="D25" s="7">
        <f>45/100</f>
        <v>0.45</v>
      </c>
    </row>
    <row r="26" spans="1:4" x14ac:dyDescent="0.25">
      <c r="A26" s="1">
        <v>1.21</v>
      </c>
      <c r="B26" s="1" t="s">
        <v>238</v>
      </c>
      <c r="C26" s="8" t="s">
        <v>47</v>
      </c>
      <c r="D26" s="7">
        <v>0</v>
      </c>
    </row>
    <row r="27" spans="1:4" x14ac:dyDescent="0.25">
      <c r="A27" s="1">
        <v>1.22</v>
      </c>
      <c r="B27" s="1" t="s">
        <v>239</v>
      </c>
      <c r="C27" s="8" t="s">
        <v>47</v>
      </c>
      <c r="D27" s="7">
        <f>113/100</f>
        <v>1.1299999999999999</v>
      </c>
    </row>
    <row r="28" spans="1:4" x14ac:dyDescent="0.25">
      <c r="A28" s="1">
        <v>1.23</v>
      </c>
      <c r="B28" s="1" t="s">
        <v>240</v>
      </c>
      <c r="C28" s="8" t="s">
        <v>47</v>
      </c>
      <c r="D28" s="7">
        <f>261/100</f>
        <v>2.61</v>
      </c>
    </row>
    <row r="29" spans="1:4" x14ac:dyDescent="0.25">
      <c r="A29" s="1" t="s">
        <v>241</v>
      </c>
      <c r="B29" s="1" t="s">
        <v>242</v>
      </c>
      <c r="C29" s="8" t="s">
        <v>47</v>
      </c>
      <c r="D29" s="7">
        <f>75/100</f>
        <v>0.75</v>
      </c>
    </row>
    <row r="30" spans="1:4" x14ac:dyDescent="0.25">
      <c r="A30" s="1" t="s">
        <v>243</v>
      </c>
      <c r="B30" s="1" t="s">
        <v>244</v>
      </c>
      <c r="C30" s="8" t="s">
        <v>47</v>
      </c>
      <c r="D30" s="7">
        <f>85/100</f>
        <v>0.85</v>
      </c>
    </row>
    <row r="31" spans="1:4" x14ac:dyDescent="0.25">
      <c r="A31" s="1" t="s">
        <v>245</v>
      </c>
      <c r="B31" s="1" t="s">
        <v>246</v>
      </c>
      <c r="C31" s="8" t="s">
        <v>47</v>
      </c>
      <c r="D31" s="7">
        <f>50/100</f>
        <v>0.5</v>
      </c>
    </row>
    <row r="32" spans="1:4" x14ac:dyDescent="0.25">
      <c r="A32" s="1"/>
      <c r="B32" s="4" t="s">
        <v>247</v>
      </c>
      <c r="C32" s="6">
        <v>0</v>
      </c>
      <c r="D32" s="6">
        <f>SUM(D4:D31)</f>
        <v>104.54999999999998</v>
      </c>
    </row>
    <row r="33" spans="1:4" x14ac:dyDescent="0.25">
      <c r="A33" s="1" t="s">
        <v>125</v>
      </c>
      <c r="B33" s="1" t="s">
        <v>163</v>
      </c>
      <c r="C33" s="7"/>
      <c r="D33" s="7"/>
    </row>
    <row r="34" spans="1:4" x14ac:dyDescent="0.25">
      <c r="A34" s="1" t="s">
        <v>127</v>
      </c>
      <c r="B34" s="1" t="s">
        <v>180</v>
      </c>
      <c r="C34" s="7">
        <v>0</v>
      </c>
      <c r="D34" s="7">
        <f>D32</f>
        <v>104.54999999999998</v>
      </c>
    </row>
    <row r="35" spans="1:4" x14ac:dyDescent="0.25">
      <c r="A35" s="1" t="s">
        <v>129</v>
      </c>
      <c r="B35" s="1" t="s">
        <v>182</v>
      </c>
      <c r="C35" s="8" t="s">
        <v>47</v>
      </c>
      <c r="D35" s="7">
        <f>1881.9/100</f>
        <v>18.819000000000003</v>
      </c>
    </row>
    <row r="36" spans="1:4" x14ac:dyDescent="0.25">
      <c r="A36" s="1" t="s">
        <v>132</v>
      </c>
      <c r="B36" s="1" t="s">
        <v>184</v>
      </c>
      <c r="C36" s="8" t="s">
        <v>47</v>
      </c>
      <c r="D36" s="7">
        <f>522.75/100</f>
        <v>5.2275</v>
      </c>
    </row>
    <row r="37" spans="1:4" x14ac:dyDescent="0.25">
      <c r="A37" s="1"/>
      <c r="B37" s="4" t="s">
        <v>248</v>
      </c>
      <c r="C37" s="6">
        <v>0</v>
      </c>
      <c r="D37" s="6">
        <f>D34+D35+D36</f>
        <v>128.59649999999999</v>
      </c>
    </row>
    <row r="38" spans="1:4" x14ac:dyDescent="0.25">
      <c r="A38" s="1" t="s">
        <v>150</v>
      </c>
      <c r="B38" s="1" t="s">
        <v>249</v>
      </c>
      <c r="C38" s="8" t="s">
        <v>47</v>
      </c>
      <c r="D38" s="7">
        <f>522.75/100</f>
        <v>5.2275</v>
      </c>
    </row>
    <row r="39" spans="1:4" x14ac:dyDescent="0.25">
      <c r="A39" s="1" t="s">
        <v>162</v>
      </c>
      <c r="B39" s="1" t="s">
        <v>250</v>
      </c>
      <c r="C39" s="8" t="s">
        <v>47</v>
      </c>
      <c r="D39" s="7">
        <f>1254.6/100</f>
        <v>12.545999999999999</v>
      </c>
    </row>
    <row r="40" spans="1:4" x14ac:dyDescent="0.25">
      <c r="A40" s="1" t="s">
        <v>187</v>
      </c>
      <c r="B40" s="1" t="s">
        <v>251</v>
      </c>
      <c r="C40" s="8" t="s">
        <v>47</v>
      </c>
      <c r="D40" s="7">
        <f>225.828/100</f>
        <v>2.2582800000000001</v>
      </c>
    </row>
    <row r="41" spans="1:4" x14ac:dyDescent="0.25">
      <c r="A41" s="1" t="s">
        <v>196</v>
      </c>
      <c r="B41" s="4" t="s">
        <v>252</v>
      </c>
      <c r="C41" s="6">
        <v>0</v>
      </c>
      <c r="D41" s="6">
        <f>D37+D38+D39+D40</f>
        <v>148.62827999999999</v>
      </c>
    </row>
    <row r="42" spans="1:4" x14ac:dyDescent="0.25">
      <c r="A42" s="1" t="s">
        <v>198</v>
      </c>
      <c r="B42" s="4" t="s">
        <v>253</v>
      </c>
      <c r="C42" s="286">
        <f>2107.728/100</f>
        <v>21.077280000000002</v>
      </c>
      <c r="D42" s="287"/>
    </row>
    <row r="43" spans="1:4" x14ac:dyDescent="0.25">
      <c r="A43" s="1" t="s">
        <v>200</v>
      </c>
      <c r="B43" s="4" t="s">
        <v>254</v>
      </c>
      <c r="C43" s="286">
        <f>12755.1/100</f>
        <v>127.551</v>
      </c>
      <c r="D43" s="287"/>
    </row>
  </sheetData>
  <mergeCells count="2">
    <mergeCell ref="C42:D42"/>
    <mergeCell ref="C43:D4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54"/>
  <sheetViews>
    <sheetView topLeftCell="A37" workbookViewId="0">
      <selection activeCell="D6" sqref="D6"/>
    </sheetView>
  </sheetViews>
  <sheetFormatPr defaultRowHeight="15" x14ac:dyDescent="0.25"/>
  <cols>
    <col min="2" max="2" width="66.28515625" customWidth="1"/>
    <col min="3" max="3" width="9.7109375" bestFit="1" customWidth="1"/>
    <col min="4" max="4" width="25" bestFit="1" customWidth="1"/>
  </cols>
  <sheetData>
    <row r="1" spans="1:4" x14ac:dyDescent="0.25">
      <c r="D1" t="s">
        <v>321</v>
      </c>
    </row>
    <row r="3" spans="1:4" x14ac:dyDescent="0.25">
      <c r="A3" s="2" t="s">
        <v>322</v>
      </c>
    </row>
    <row r="5" spans="1:4" x14ac:dyDescent="0.25">
      <c r="A5" s="3" t="s">
        <v>381</v>
      </c>
    </row>
    <row r="6" spans="1:4" x14ac:dyDescent="0.25">
      <c r="A6" s="4" t="s">
        <v>323</v>
      </c>
      <c r="B6" s="4" t="s">
        <v>324</v>
      </c>
      <c r="C6" s="4" t="s">
        <v>325</v>
      </c>
      <c r="D6" s="4" t="s">
        <v>326</v>
      </c>
    </row>
    <row r="7" spans="1:4" x14ac:dyDescent="0.25">
      <c r="A7" s="1"/>
      <c r="B7" s="1"/>
      <c r="C7" s="1"/>
      <c r="D7" s="1"/>
    </row>
    <row r="8" spans="1:4" x14ac:dyDescent="0.25">
      <c r="A8" s="1" t="s">
        <v>84</v>
      </c>
      <c r="B8" s="1" t="s">
        <v>327</v>
      </c>
      <c r="C8" s="1"/>
      <c r="D8" s="1"/>
    </row>
    <row r="9" spans="1:4" x14ac:dyDescent="0.25">
      <c r="A9" s="1" t="s">
        <v>86</v>
      </c>
      <c r="B9" s="1" t="s">
        <v>328</v>
      </c>
      <c r="C9" s="1">
        <v>900</v>
      </c>
      <c r="D9" s="1" t="s">
        <v>320</v>
      </c>
    </row>
    <row r="10" spans="1:4" x14ac:dyDescent="0.25">
      <c r="A10" s="1" t="s">
        <v>94</v>
      </c>
      <c r="B10" s="1" t="s">
        <v>329</v>
      </c>
      <c r="C10" s="1">
        <v>50</v>
      </c>
      <c r="D10" s="1" t="s">
        <v>330</v>
      </c>
    </row>
    <row r="11" spans="1:4" x14ac:dyDescent="0.25">
      <c r="A11" s="1" t="s">
        <v>102</v>
      </c>
      <c r="B11" s="1" t="s">
        <v>331</v>
      </c>
      <c r="C11" s="1">
        <v>50</v>
      </c>
      <c r="D11" s="1" t="s">
        <v>264</v>
      </c>
    </row>
    <row r="12" spans="1:4" x14ac:dyDescent="0.25">
      <c r="A12" s="1" t="s">
        <v>110</v>
      </c>
      <c r="B12" s="1" t="s">
        <v>332</v>
      </c>
      <c r="C12" s="1">
        <v>125</v>
      </c>
      <c r="D12" s="1" t="s">
        <v>330</v>
      </c>
    </row>
    <row r="13" spans="1:4" x14ac:dyDescent="0.25">
      <c r="A13" s="1" t="s">
        <v>209</v>
      </c>
      <c r="B13" s="1" t="s">
        <v>333</v>
      </c>
      <c r="C13" s="1">
        <v>30</v>
      </c>
      <c r="D13" s="1" t="s">
        <v>264</v>
      </c>
    </row>
    <row r="14" spans="1:4" x14ac:dyDescent="0.25">
      <c r="A14" s="1" t="s">
        <v>211</v>
      </c>
      <c r="B14" s="1" t="s">
        <v>334</v>
      </c>
      <c r="C14" s="1">
        <v>190</v>
      </c>
      <c r="D14" s="1" t="s">
        <v>330</v>
      </c>
    </row>
    <row r="15" spans="1:4" x14ac:dyDescent="0.25">
      <c r="A15" s="1" t="s">
        <v>213</v>
      </c>
      <c r="B15" s="1" t="s">
        <v>335</v>
      </c>
      <c r="C15" s="1">
        <v>400</v>
      </c>
      <c r="D15" s="1" t="s">
        <v>330</v>
      </c>
    </row>
    <row r="16" spans="1:4" x14ac:dyDescent="0.25">
      <c r="A16" s="1" t="s">
        <v>215</v>
      </c>
      <c r="B16" s="1" t="s">
        <v>336</v>
      </c>
      <c r="C16" s="1">
        <v>370</v>
      </c>
      <c r="D16" s="1" t="s">
        <v>330</v>
      </c>
    </row>
    <row r="17" spans="1:4" x14ac:dyDescent="0.25">
      <c r="A17" s="1" t="s">
        <v>217</v>
      </c>
      <c r="B17" s="1" t="s">
        <v>337</v>
      </c>
      <c r="C17" s="1">
        <v>135</v>
      </c>
      <c r="D17" s="1" t="s">
        <v>330</v>
      </c>
    </row>
    <row r="18" spans="1:4" x14ac:dyDescent="0.25">
      <c r="A18" s="1" t="s">
        <v>219</v>
      </c>
      <c r="B18" s="1" t="s">
        <v>338</v>
      </c>
      <c r="C18" s="1">
        <v>20</v>
      </c>
      <c r="D18" s="1" t="s">
        <v>330</v>
      </c>
    </row>
    <row r="19" spans="1:4" x14ac:dyDescent="0.25">
      <c r="A19" s="1"/>
      <c r="B19" s="4" t="s">
        <v>339</v>
      </c>
      <c r="C19" s="4">
        <v>2270</v>
      </c>
      <c r="D19" s="1"/>
    </row>
    <row r="20" spans="1:4" x14ac:dyDescent="0.25">
      <c r="A20" s="1" t="s">
        <v>125</v>
      </c>
      <c r="B20" s="1" t="s">
        <v>273</v>
      </c>
      <c r="C20" s="1"/>
      <c r="D20" s="1"/>
    </row>
    <row r="21" spans="1:4" x14ac:dyDescent="0.25">
      <c r="A21" s="1">
        <v>2.1</v>
      </c>
      <c r="B21" s="1" t="s">
        <v>340</v>
      </c>
      <c r="C21" s="1">
        <v>1785</v>
      </c>
      <c r="D21" s="1" t="s">
        <v>330</v>
      </c>
    </row>
    <row r="22" spans="1:4" x14ac:dyDescent="0.25">
      <c r="A22" s="1">
        <v>2.2000000000000002</v>
      </c>
      <c r="B22" s="1" t="s">
        <v>17</v>
      </c>
      <c r="C22" s="1">
        <v>3100</v>
      </c>
      <c r="D22" s="1" t="s">
        <v>330</v>
      </c>
    </row>
    <row r="23" spans="1:4" x14ac:dyDescent="0.25">
      <c r="A23" s="1">
        <v>2.2999999999999998</v>
      </c>
      <c r="B23" s="1" t="s">
        <v>31</v>
      </c>
      <c r="C23" s="1">
        <v>1220</v>
      </c>
      <c r="D23" s="1" t="s">
        <v>330</v>
      </c>
    </row>
    <row r="24" spans="1:4" x14ac:dyDescent="0.25">
      <c r="A24" s="1">
        <v>2.4</v>
      </c>
      <c r="B24" s="1" t="s">
        <v>341</v>
      </c>
      <c r="C24" s="1">
        <v>250</v>
      </c>
      <c r="D24" s="1" t="s">
        <v>330</v>
      </c>
    </row>
    <row r="25" spans="1:4" x14ac:dyDescent="0.25">
      <c r="A25" s="1">
        <v>2.5</v>
      </c>
      <c r="B25" s="1" t="s">
        <v>342</v>
      </c>
      <c r="C25" s="1">
        <v>0</v>
      </c>
      <c r="D25" s="1" t="s">
        <v>330</v>
      </c>
    </row>
    <row r="26" spans="1:4" x14ac:dyDescent="0.25">
      <c r="A26" s="1">
        <v>2.6</v>
      </c>
      <c r="B26" s="1" t="s">
        <v>343</v>
      </c>
      <c r="C26" s="1">
        <v>400</v>
      </c>
      <c r="D26" s="1" t="s">
        <v>330</v>
      </c>
    </row>
    <row r="27" spans="1:4" x14ac:dyDescent="0.25">
      <c r="A27" s="1">
        <v>2.7</v>
      </c>
      <c r="B27" s="1" t="s">
        <v>281</v>
      </c>
      <c r="C27" s="1">
        <v>1450</v>
      </c>
      <c r="D27" s="1" t="s">
        <v>330</v>
      </c>
    </row>
    <row r="28" spans="1:4" x14ac:dyDescent="0.25">
      <c r="A28" s="1"/>
      <c r="B28" s="4" t="s">
        <v>344</v>
      </c>
      <c r="C28" s="4">
        <v>8205</v>
      </c>
      <c r="D28" s="1"/>
    </row>
    <row r="29" spans="1:4" x14ac:dyDescent="0.25">
      <c r="A29" s="1" t="s">
        <v>150</v>
      </c>
      <c r="B29" s="1" t="s">
        <v>345</v>
      </c>
      <c r="C29" s="1"/>
      <c r="D29" s="1"/>
    </row>
    <row r="30" spans="1:4" x14ac:dyDescent="0.25">
      <c r="A30" s="1" t="s">
        <v>152</v>
      </c>
      <c r="B30" s="1" t="s">
        <v>346</v>
      </c>
      <c r="C30" s="1">
        <v>14930</v>
      </c>
      <c r="D30" s="1" t="s">
        <v>347</v>
      </c>
    </row>
    <row r="31" spans="1:4" x14ac:dyDescent="0.25">
      <c r="A31" s="1" t="s">
        <v>154</v>
      </c>
      <c r="B31" s="1" t="s">
        <v>348</v>
      </c>
      <c r="C31" s="1">
        <v>2450</v>
      </c>
      <c r="D31" s="1" t="s">
        <v>347</v>
      </c>
    </row>
    <row r="32" spans="1:4" x14ac:dyDescent="0.25">
      <c r="A32" s="1" t="s">
        <v>156</v>
      </c>
      <c r="B32" s="1" t="s">
        <v>349</v>
      </c>
      <c r="C32" s="1">
        <v>2560</v>
      </c>
      <c r="D32" s="1" t="s">
        <v>350</v>
      </c>
    </row>
    <row r="33" spans="1:4" x14ac:dyDescent="0.25">
      <c r="A33" s="4" t="s">
        <v>285</v>
      </c>
      <c r="B33" s="4" t="s">
        <v>351</v>
      </c>
      <c r="C33" s="4">
        <v>420</v>
      </c>
      <c r="D33" s="4" t="s">
        <v>350</v>
      </c>
    </row>
    <row r="34" spans="1:4" x14ac:dyDescent="0.25">
      <c r="A34" s="4" t="s">
        <v>352</v>
      </c>
      <c r="B34" s="4" t="s">
        <v>353</v>
      </c>
      <c r="C34" s="4">
        <v>423</v>
      </c>
      <c r="D34" s="4" t="s">
        <v>330</v>
      </c>
    </row>
    <row r="35" spans="1:4" x14ac:dyDescent="0.25">
      <c r="A35" s="1" t="s">
        <v>354</v>
      </c>
      <c r="B35" s="1" t="s">
        <v>355</v>
      </c>
      <c r="C35" s="1"/>
      <c r="D35" s="1"/>
    </row>
    <row r="36" spans="1:4" x14ac:dyDescent="0.25">
      <c r="A36" s="1" t="s">
        <v>356</v>
      </c>
      <c r="B36" s="1" t="s">
        <v>357</v>
      </c>
      <c r="C36" s="1">
        <v>85</v>
      </c>
      <c r="D36" s="1"/>
    </row>
    <row r="37" spans="1:4" x14ac:dyDescent="0.25">
      <c r="A37" s="1" t="s">
        <v>358</v>
      </c>
      <c r="B37" s="1" t="s">
        <v>359</v>
      </c>
      <c r="C37" s="1">
        <v>40</v>
      </c>
      <c r="D37" s="1"/>
    </row>
    <row r="38" spans="1:4" x14ac:dyDescent="0.25">
      <c r="A38" s="1" t="s">
        <v>360</v>
      </c>
      <c r="B38" s="1" t="s">
        <v>361</v>
      </c>
      <c r="C38" s="1">
        <v>50</v>
      </c>
      <c r="D38" s="1"/>
    </row>
    <row r="39" spans="1:4" x14ac:dyDescent="0.25">
      <c r="A39" s="1" t="s">
        <v>362</v>
      </c>
      <c r="B39" s="1" t="s">
        <v>363</v>
      </c>
      <c r="C39" s="1">
        <v>130</v>
      </c>
      <c r="D39" s="1"/>
    </row>
    <row r="40" spans="1:4" x14ac:dyDescent="0.25">
      <c r="A40" s="1" t="s">
        <v>364</v>
      </c>
      <c r="B40" s="1" t="s">
        <v>365</v>
      </c>
      <c r="C40" s="1">
        <v>75</v>
      </c>
      <c r="D40" s="1"/>
    </row>
    <row r="41" spans="1:4" x14ac:dyDescent="0.25">
      <c r="A41" s="1"/>
      <c r="B41" s="4" t="s">
        <v>366</v>
      </c>
      <c r="C41" s="4">
        <v>21163</v>
      </c>
      <c r="D41" s="1"/>
    </row>
    <row r="42" spans="1:4" x14ac:dyDescent="0.25">
      <c r="A42" s="1">
        <v>4</v>
      </c>
      <c r="B42" s="1" t="s">
        <v>367</v>
      </c>
      <c r="C42" s="1"/>
      <c r="D42" s="1"/>
    </row>
    <row r="43" spans="1:4" x14ac:dyDescent="0.25">
      <c r="A43" s="1" t="s">
        <v>164</v>
      </c>
      <c r="B43" s="1" t="s">
        <v>368</v>
      </c>
      <c r="C43" s="1">
        <v>400</v>
      </c>
      <c r="D43" s="1"/>
    </row>
    <row r="44" spans="1:4" x14ac:dyDescent="0.25">
      <c r="A44" s="1" t="s">
        <v>177</v>
      </c>
      <c r="B44" s="1" t="s">
        <v>369</v>
      </c>
      <c r="C44" s="1">
        <v>50</v>
      </c>
      <c r="D44" s="1"/>
    </row>
    <row r="45" spans="1:4" x14ac:dyDescent="0.25">
      <c r="A45" s="1"/>
      <c r="B45" s="4" t="s">
        <v>370</v>
      </c>
      <c r="C45" s="4">
        <v>450</v>
      </c>
      <c r="D45" s="1"/>
    </row>
    <row r="46" spans="1:4" x14ac:dyDescent="0.25">
      <c r="A46" s="1">
        <v>5</v>
      </c>
      <c r="B46" s="1" t="s">
        <v>290</v>
      </c>
      <c r="C46" s="1"/>
      <c r="D46" s="1"/>
    </row>
    <row r="47" spans="1:4" x14ac:dyDescent="0.25">
      <c r="A47" s="1" t="s">
        <v>291</v>
      </c>
      <c r="B47" s="1" t="s">
        <v>371</v>
      </c>
      <c r="C47" s="1">
        <v>70</v>
      </c>
      <c r="D47" s="1"/>
    </row>
    <row r="48" spans="1:4" x14ac:dyDescent="0.25">
      <c r="A48" s="1" t="s">
        <v>293</v>
      </c>
      <c r="B48" s="1" t="s">
        <v>372</v>
      </c>
      <c r="C48" s="1">
        <v>30</v>
      </c>
      <c r="D48" s="1"/>
    </row>
    <row r="49" spans="1:4" x14ac:dyDescent="0.25">
      <c r="A49" s="1" t="s">
        <v>295</v>
      </c>
      <c r="B49" s="1" t="s">
        <v>373</v>
      </c>
      <c r="C49" s="1">
        <v>50</v>
      </c>
      <c r="D49" s="1"/>
    </row>
    <row r="50" spans="1:4" x14ac:dyDescent="0.25">
      <c r="A50" s="1" t="s">
        <v>297</v>
      </c>
      <c r="B50" s="1" t="s">
        <v>374</v>
      </c>
      <c r="C50" s="1">
        <v>60</v>
      </c>
      <c r="D50" s="1"/>
    </row>
    <row r="51" spans="1:4" x14ac:dyDescent="0.25">
      <c r="A51" s="1" t="s">
        <v>375</v>
      </c>
      <c r="B51" s="1" t="s">
        <v>376</v>
      </c>
      <c r="C51" s="1" t="s">
        <v>47</v>
      </c>
      <c r="D51" s="1"/>
    </row>
    <row r="52" spans="1:4" x14ac:dyDescent="0.25">
      <c r="A52" s="1"/>
      <c r="B52" s="4" t="s">
        <v>377</v>
      </c>
      <c r="C52" s="4">
        <v>210</v>
      </c>
      <c r="D52" s="1"/>
    </row>
    <row r="53" spans="1:4" x14ac:dyDescent="0.25">
      <c r="A53" s="1" t="s">
        <v>378</v>
      </c>
      <c r="B53" s="1" t="s">
        <v>379</v>
      </c>
      <c r="C53" s="1"/>
      <c r="D53" s="1"/>
    </row>
    <row r="54" spans="1:4" x14ac:dyDescent="0.25">
      <c r="A54" s="1"/>
      <c r="B54" s="4" t="s">
        <v>380</v>
      </c>
      <c r="C54" s="4">
        <v>32298</v>
      </c>
      <c r="D54" s="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C3:G35"/>
  <sheetViews>
    <sheetView topLeftCell="D1" workbookViewId="0">
      <selection activeCell="K22" sqref="K22"/>
    </sheetView>
  </sheetViews>
  <sheetFormatPr defaultRowHeight="15" x14ac:dyDescent="0.25"/>
  <cols>
    <col min="3" max="3" width="6.85546875" style="125" bestFit="1" customWidth="1"/>
    <col min="4" max="4" width="75.85546875" style="149" bestFit="1" customWidth="1"/>
    <col min="5" max="5" width="65.28515625" customWidth="1"/>
    <col min="6" max="6" width="35" bestFit="1" customWidth="1"/>
  </cols>
  <sheetData>
    <row r="3" spans="3:7" x14ac:dyDescent="0.25">
      <c r="C3" s="114" t="s">
        <v>496</v>
      </c>
      <c r="D3" s="99" t="s">
        <v>324</v>
      </c>
      <c r="E3" s="99" t="s">
        <v>326</v>
      </c>
    </row>
    <row r="4" spans="3:7" x14ac:dyDescent="0.25">
      <c r="C4" s="115">
        <v>1</v>
      </c>
      <c r="D4" s="148" t="s">
        <v>4</v>
      </c>
      <c r="E4" s="145" t="s">
        <v>780</v>
      </c>
      <c r="F4" s="145" t="s">
        <v>768</v>
      </c>
    </row>
    <row r="5" spans="3:7" ht="30" x14ac:dyDescent="0.25">
      <c r="C5" s="239">
        <v>1.1000000000000001</v>
      </c>
      <c r="D5" s="240" t="s">
        <v>14</v>
      </c>
      <c r="E5" s="241" t="s">
        <v>842</v>
      </c>
      <c r="F5" s="242" t="s">
        <v>843</v>
      </c>
      <c r="G5" s="158">
        <v>0.85</v>
      </c>
    </row>
    <row r="6" spans="3:7" ht="75" x14ac:dyDescent="0.25">
      <c r="C6" s="239">
        <v>1.2</v>
      </c>
      <c r="D6" s="240" t="s">
        <v>385</v>
      </c>
      <c r="E6" s="241" t="s">
        <v>783</v>
      </c>
      <c r="F6" s="244" t="s">
        <v>855</v>
      </c>
    </row>
    <row r="7" spans="3:7" ht="75" x14ac:dyDescent="0.25">
      <c r="C7" s="239">
        <v>1.3</v>
      </c>
      <c r="D7" s="240" t="s">
        <v>386</v>
      </c>
      <c r="E7" s="241" t="s">
        <v>785</v>
      </c>
      <c r="F7" s="243" t="s">
        <v>841</v>
      </c>
      <c r="G7" s="158">
        <v>0.85</v>
      </c>
    </row>
    <row r="8" spans="3:7" x14ac:dyDescent="0.25">
      <c r="C8" s="115">
        <v>2</v>
      </c>
      <c r="D8" s="148" t="s">
        <v>17</v>
      </c>
      <c r="E8" s="203"/>
    </row>
    <row r="9" spans="3:7" ht="30" x14ac:dyDescent="0.25">
      <c r="C9" s="239">
        <v>2.1</v>
      </c>
      <c r="D9" s="240" t="s">
        <v>712</v>
      </c>
      <c r="E9" s="241" t="s">
        <v>854</v>
      </c>
    </row>
    <row r="10" spans="3:7" ht="45" x14ac:dyDescent="0.25">
      <c r="C10" s="239">
        <v>2.2000000000000002</v>
      </c>
      <c r="D10" s="240" t="s">
        <v>388</v>
      </c>
      <c r="E10" s="241" t="s">
        <v>786</v>
      </c>
      <c r="F10" s="244" t="s">
        <v>853</v>
      </c>
    </row>
    <row r="11" spans="3:7" ht="45" x14ac:dyDescent="0.25">
      <c r="C11" s="239">
        <v>2.2999999999999998</v>
      </c>
      <c r="D11" s="240" t="s">
        <v>389</v>
      </c>
      <c r="E11" s="241" t="s">
        <v>789</v>
      </c>
      <c r="F11" s="244" t="s">
        <v>840</v>
      </c>
    </row>
    <row r="12" spans="3:7" ht="45" x14ac:dyDescent="0.25">
      <c r="C12" s="239">
        <v>2.4</v>
      </c>
      <c r="D12" s="240" t="s">
        <v>390</v>
      </c>
      <c r="E12" s="241" t="s">
        <v>838</v>
      </c>
      <c r="F12" s="242" t="s">
        <v>839</v>
      </c>
      <c r="G12" s="158">
        <v>0.95</v>
      </c>
    </row>
    <row r="13" spans="3:7" ht="30" x14ac:dyDescent="0.25">
      <c r="C13" s="239">
        <v>2.5</v>
      </c>
      <c r="D13" s="240" t="s">
        <v>391</v>
      </c>
      <c r="E13" s="241" t="s">
        <v>836</v>
      </c>
      <c r="F13" s="244" t="s">
        <v>852</v>
      </c>
    </row>
    <row r="14" spans="3:7" x14ac:dyDescent="0.25">
      <c r="C14" s="239">
        <v>2.6</v>
      </c>
      <c r="D14" s="240" t="s">
        <v>392</v>
      </c>
      <c r="E14" s="241" t="s">
        <v>715</v>
      </c>
    </row>
    <row r="15" spans="3:7" x14ac:dyDescent="0.25">
      <c r="C15" s="115">
        <v>3</v>
      </c>
      <c r="D15" s="148" t="s">
        <v>31</v>
      </c>
      <c r="E15" s="203"/>
      <c r="F15" s="204"/>
    </row>
    <row r="16" spans="3:7" ht="30" x14ac:dyDescent="0.25">
      <c r="C16" s="239">
        <v>3.1</v>
      </c>
      <c r="D16" s="240" t="s">
        <v>393</v>
      </c>
      <c r="E16" s="241" t="s">
        <v>788</v>
      </c>
      <c r="F16" s="244" t="s">
        <v>851</v>
      </c>
    </row>
    <row r="17" spans="3:6" ht="75" x14ac:dyDescent="0.25">
      <c r="C17" s="239">
        <v>3.2</v>
      </c>
      <c r="D17" s="240" t="s">
        <v>394</v>
      </c>
      <c r="E17" s="241" t="s">
        <v>716</v>
      </c>
      <c r="F17" s="244" t="s">
        <v>850</v>
      </c>
    </row>
    <row r="18" spans="3:6" ht="60" x14ac:dyDescent="0.25">
      <c r="C18" s="239">
        <v>3.3</v>
      </c>
      <c r="D18" s="240" t="s">
        <v>395</v>
      </c>
      <c r="E18" s="241" t="s">
        <v>717</v>
      </c>
      <c r="F18" s="244" t="s">
        <v>849</v>
      </c>
    </row>
    <row r="19" spans="3:6" x14ac:dyDescent="0.25">
      <c r="C19" s="239">
        <v>3.5</v>
      </c>
      <c r="D19" s="240" t="s">
        <v>396</v>
      </c>
      <c r="E19" s="241" t="s">
        <v>718</v>
      </c>
      <c r="F19" s="241" t="s">
        <v>718</v>
      </c>
    </row>
    <row r="20" spans="3:6" ht="90" x14ac:dyDescent="0.25">
      <c r="C20" s="239">
        <v>3.6</v>
      </c>
      <c r="D20" s="240" t="s">
        <v>397</v>
      </c>
      <c r="E20" s="241" t="s">
        <v>791</v>
      </c>
      <c r="F20" s="243" t="s">
        <v>848</v>
      </c>
    </row>
    <row r="21" spans="3:6" ht="45" x14ac:dyDescent="0.25">
      <c r="C21" s="239">
        <v>3.7</v>
      </c>
      <c r="D21" s="240" t="s">
        <v>398</v>
      </c>
      <c r="E21" s="241" t="s">
        <v>781</v>
      </c>
      <c r="F21" s="244" t="s">
        <v>847</v>
      </c>
    </row>
    <row r="22" spans="3:6" x14ac:dyDescent="0.25">
      <c r="C22" s="239">
        <v>3.8</v>
      </c>
      <c r="D22" s="240" t="s">
        <v>399</v>
      </c>
      <c r="E22" s="241" t="s">
        <v>787</v>
      </c>
      <c r="F22" t="s">
        <v>846</v>
      </c>
    </row>
    <row r="23" spans="3:6" ht="81.75" customHeight="1" x14ac:dyDescent="0.25">
      <c r="C23" s="239">
        <v>3.9</v>
      </c>
      <c r="D23" s="240" t="s">
        <v>719</v>
      </c>
      <c r="E23" s="241" t="s">
        <v>790</v>
      </c>
      <c r="F23" s="244" t="s">
        <v>845</v>
      </c>
    </row>
    <row r="24" spans="3:6" ht="30" x14ac:dyDescent="0.25">
      <c r="C24" s="239">
        <v>3.1</v>
      </c>
      <c r="D24" s="240" t="s">
        <v>401</v>
      </c>
      <c r="E24" s="241" t="s">
        <v>837</v>
      </c>
      <c r="F24" s="244" t="s">
        <v>844</v>
      </c>
    </row>
    <row r="25" spans="3:6" x14ac:dyDescent="0.25">
      <c r="C25" s="239">
        <v>3.11</v>
      </c>
      <c r="D25" s="240" t="s">
        <v>402</v>
      </c>
      <c r="E25" s="241" t="s">
        <v>782</v>
      </c>
    </row>
    <row r="26" spans="3:6" x14ac:dyDescent="0.25">
      <c r="C26" s="115">
        <v>4</v>
      </c>
      <c r="D26" s="148" t="s">
        <v>403</v>
      </c>
      <c r="E26" s="203"/>
    </row>
    <row r="27" spans="3:6" x14ac:dyDescent="0.25">
      <c r="C27" s="112">
        <v>4.0999999999999996</v>
      </c>
      <c r="D27" s="147" t="s">
        <v>404</v>
      </c>
      <c r="E27" s="146" t="s">
        <v>715</v>
      </c>
    </row>
    <row r="28" spans="3:6" x14ac:dyDescent="0.25">
      <c r="C28" s="112">
        <v>4.2</v>
      </c>
      <c r="D28" s="147" t="s">
        <v>405</v>
      </c>
      <c r="E28" s="146" t="s">
        <v>715</v>
      </c>
    </row>
    <row r="29" spans="3:6" x14ac:dyDescent="0.25">
      <c r="C29" s="112">
        <v>4.3</v>
      </c>
      <c r="D29" s="147" t="s">
        <v>406</v>
      </c>
      <c r="E29" s="146" t="s">
        <v>715</v>
      </c>
    </row>
    <row r="30" spans="3:6" x14ac:dyDescent="0.25">
      <c r="C30" s="112">
        <v>4.4000000000000004</v>
      </c>
      <c r="D30" s="147" t="s">
        <v>50</v>
      </c>
      <c r="E30" s="146" t="s">
        <v>715</v>
      </c>
    </row>
    <row r="31" spans="3:6" x14ac:dyDescent="0.25">
      <c r="C31" s="112">
        <v>4.5</v>
      </c>
      <c r="D31" s="147" t="s">
        <v>52</v>
      </c>
      <c r="E31" s="146" t="s">
        <v>715</v>
      </c>
    </row>
    <row r="35" spans="4:5" x14ac:dyDescent="0.25">
      <c r="D35" s="149" t="s">
        <v>792</v>
      </c>
      <c r="E35" t="s">
        <v>793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Phy, Prog. and exp. sheet</vt:lpstr>
      <vt:lpstr>Detailed Physical Progress IU</vt:lpstr>
      <vt:lpstr>Detailed Phy. progress GU</vt:lpstr>
      <vt:lpstr>IU COP</vt:lpstr>
      <vt:lpstr>IU Civil cost</vt:lpstr>
      <vt:lpstr>IU M&amp;E</vt:lpstr>
      <vt:lpstr>IU Power Distribution</vt:lpstr>
      <vt:lpstr>GU COP</vt:lpstr>
      <vt:lpstr>Detailed Phy. Prog. of GU</vt:lpstr>
      <vt:lpstr>GU Civil Cost</vt:lpstr>
      <vt:lpstr>June CA CERTIFICATE</vt:lpstr>
      <vt:lpstr>March CA certificate</vt:lpstr>
      <vt:lpstr>GU M&amp;E</vt:lpstr>
      <vt:lpstr>GU Power Distrbution</vt:lpstr>
      <vt:lpstr>Constractors and suppliers</vt:lpstr>
      <vt:lpstr>Cost of Project</vt:lpstr>
      <vt:lpstr>'GU Civil Cost'!Print_Area</vt:lpstr>
      <vt:lpstr>'GU M&amp;E'!Print_Area</vt:lpstr>
      <vt:lpstr>'IU Civil cost'!Print_Area</vt:lpstr>
      <vt:lpstr>'IU M&amp;E'!Print_Area</vt:lpstr>
      <vt:lpstr>'Phy, Prog. and exp.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2022-11-15T14:38:40Z</dcterms:modified>
</cp:coreProperties>
</file>