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Babul\VIS(2022-23)-PL429-338-613\"/>
    </mc:Choice>
  </mc:AlternateContent>
  <bookViews>
    <workbookView xWindow="0" yWindow="0" windowWidth="21600" windowHeight="9135" activeTab="3"/>
  </bookViews>
  <sheets>
    <sheet name="Land bifurcation" sheetId="1" r:id="rId1"/>
    <sheet name="Building valuation" sheetId="2" r:id="rId2"/>
    <sheet name="Land &amp; Building Valuation" sheetId="3" r:id="rId3"/>
    <sheet name="By law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3" l="1"/>
  <c r="D26" i="3"/>
  <c r="D24" i="3"/>
  <c r="D22" i="3"/>
  <c r="D21" i="3"/>
  <c r="M17" i="3"/>
  <c r="M11" i="3"/>
  <c r="I11" i="3"/>
  <c r="H11" i="3"/>
  <c r="F11" i="3"/>
  <c r="D11" i="3"/>
  <c r="L6" i="3"/>
  <c r="I5" i="3"/>
  <c r="I6" i="3"/>
  <c r="H6" i="3"/>
  <c r="F6" i="3"/>
  <c r="D6" i="3"/>
  <c r="H15" i="2" l="1"/>
  <c r="H14" i="2"/>
  <c r="G14" i="2"/>
  <c r="H9" i="2"/>
  <c r="H10" i="2"/>
  <c r="H11" i="2"/>
  <c r="H12" i="2"/>
  <c r="H13" i="2"/>
  <c r="H8" i="2"/>
  <c r="H7" i="2"/>
  <c r="G7" i="2"/>
  <c r="H6" i="2"/>
  <c r="H5" i="2"/>
  <c r="G8" i="4" l="1"/>
  <c r="G6" i="4"/>
  <c r="E8" i="4"/>
  <c r="E6" i="4"/>
  <c r="D8" i="4"/>
  <c r="Y6" i="2"/>
  <c r="O13" i="2"/>
  <c r="L13" i="2"/>
  <c r="Q13" i="2"/>
  <c r="O12" i="2"/>
  <c r="L12" i="2"/>
  <c r="Q12" i="2"/>
  <c r="R12" i="2" s="1"/>
  <c r="O11" i="2"/>
  <c r="L11" i="2"/>
  <c r="Q11" i="2"/>
  <c r="Q10" i="2"/>
  <c r="O10" i="2"/>
  <c r="L10" i="2"/>
  <c r="O9" i="2"/>
  <c r="L9" i="2"/>
  <c r="Q9" i="2"/>
  <c r="O8" i="2"/>
  <c r="L8" i="2"/>
  <c r="Q8" i="2"/>
  <c r="R8" i="2" s="1"/>
  <c r="O6" i="2"/>
  <c r="L6" i="2"/>
  <c r="Q6" i="2"/>
  <c r="Q5" i="2"/>
  <c r="O5" i="2"/>
  <c r="L5" i="2"/>
  <c r="Q14" i="2" l="1"/>
  <c r="Q7" i="2"/>
  <c r="R5" i="2"/>
  <c r="R9" i="2"/>
  <c r="S9" i="2" s="1"/>
  <c r="U9" i="2" s="1"/>
  <c r="R13" i="2"/>
  <c r="S13" i="2" s="1"/>
  <c r="U13" i="2" s="1"/>
  <c r="R6" i="2"/>
  <c r="S6" i="2" s="1"/>
  <c r="U6" i="2" s="1"/>
  <c r="R11" i="2"/>
  <c r="S11" i="2" s="1"/>
  <c r="U11" i="2" s="1"/>
  <c r="S5" i="2"/>
  <c r="S8" i="2"/>
  <c r="U8" i="2" s="1"/>
  <c r="S12" i="2"/>
  <c r="U12" i="2" s="1"/>
  <c r="R10" i="2"/>
  <c r="S10" i="2" s="1"/>
  <c r="U10" i="2" s="1"/>
  <c r="U14" i="2" l="1"/>
  <c r="Q15" i="2"/>
  <c r="H8" i="4"/>
  <c r="S15" i="2"/>
  <c r="U5" i="2"/>
  <c r="U7" i="2" s="1"/>
  <c r="U15" i="2" l="1"/>
  <c r="O9" i="1"/>
  <c r="O16" i="1" s="1"/>
  <c r="O4" i="1"/>
  <c r="N16" i="1"/>
  <c r="N10" i="1"/>
  <c r="N11" i="1"/>
  <c r="N12" i="1"/>
  <c r="N13" i="1"/>
  <c r="N14" i="1"/>
  <c r="N9" i="1"/>
  <c r="N5" i="1"/>
  <c r="N7" i="1" s="1"/>
  <c r="N4" i="1"/>
  <c r="N6" i="1" s="1"/>
  <c r="I9" i="1"/>
  <c r="J9" i="1" s="1"/>
  <c r="I4" i="1"/>
  <c r="J4" i="1" s="1"/>
  <c r="Y5" i="2"/>
  <c r="G15" i="2"/>
  <c r="H6" i="4" l="1"/>
</calcChain>
</file>

<file path=xl/sharedStrings.xml><?xml version="1.0" encoding="utf-8"?>
<sst xmlns="http://schemas.openxmlformats.org/spreadsheetml/2006/main" count="133" uniqueCount="93">
  <si>
    <t>Plot No</t>
  </si>
  <si>
    <t>Area (sq. mtr.)</t>
  </si>
  <si>
    <t xml:space="preserve">Direction </t>
  </si>
  <si>
    <t>Dimention(in mtr.)</t>
  </si>
  <si>
    <t>Part No.</t>
  </si>
  <si>
    <t>C-7</t>
  </si>
  <si>
    <t>C-7A</t>
  </si>
  <si>
    <t>C-8</t>
  </si>
  <si>
    <t>C-8A</t>
  </si>
  <si>
    <t>C-4</t>
  </si>
  <si>
    <t>C-5</t>
  </si>
  <si>
    <t>C-6</t>
  </si>
  <si>
    <t>C-9</t>
  </si>
  <si>
    <t>C-10</t>
  </si>
  <si>
    <t>C-11</t>
  </si>
  <si>
    <t>East</t>
  </si>
  <si>
    <t>West</t>
  </si>
  <si>
    <t>North</t>
  </si>
  <si>
    <t>South</t>
  </si>
  <si>
    <t>Plot No. C-6 &amp; C-7</t>
  </si>
  <si>
    <t>Plot No.24 mtr. wide road</t>
  </si>
  <si>
    <t>30 mtr. wide road</t>
  </si>
  <si>
    <t>24 mtr. wide road</t>
  </si>
  <si>
    <t>Plot No. C-3 &amp; C-12</t>
  </si>
  <si>
    <t>Plot No. C-7A &amp; C-8A</t>
  </si>
  <si>
    <t>GRAND TOTAL</t>
  </si>
  <si>
    <t>Value</t>
  </si>
  <si>
    <t>BIFURCATION OF LAND OF M/S. INTERNATIONAL PRINT O PACK LTD. | PHASE II EXTENSION, NOIDA</t>
  </si>
  <si>
    <t>BUILDING VALUATION OF M/S. INTERNATIONAL PRINT O PACK LTD.|NOIDA, U.P.</t>
  </si>
  <si>
    <t>SR. No.</t>
  </si>
  <si>
    <t>Floor</t>
  </si>
  <si>
    <t>Unit</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</si>
  <si>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</si>
  <si>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</si>
  <si>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</si>
  <si>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</si>
  <si>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</si>
  <si>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</si>
  <si>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</si>
  <si>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</si>
  <si>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</si>
  <si>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</si>
  <si>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</si>
  <si>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</si>
  <si>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</si>
  <si>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</si>
  <si>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</si>
  <si>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Basement + Ground Floor + First Floor</t>
  </si>
  <si>
    <t>Building 1</t>
  </si>
  <si>
    <t>RCC framed pillar beam column on RCC slab</t>
  </si>
  <si>
    <t>Building 2</t>
  </si>
  <si>
    <t xml:space="preserve">Basement </t>
  </si>
  <si>
    <t>Building 3</t>
  </si>
  <si>
    <t>Ground Floor</t>
  </si>
  <si>
    <t>Scrap Yard 1</t>
  </si>
  <si>
    <t>Tin shed over steel structue bounded by brick wall</t>
  </si>
  <si>
    <t>Scrap Yard 2</t>
  </si>
  <si>
    <t>Scrap Yard 3</t>
  </si>
  <si>
    <t>Power House</t>
  </si>
  <si>
    <t>TOTAL</t>
  </si>
  <si>
    <t>Remarks:</t>
  </si>
  <si>
    <r>
      <t xml:space="preserve">2. </t>
    </r>
    <r>
      <rPr>
        <i/>
        <sz val="10"/>
        <color theme="1"/>
        <rFont val="Calibri"/>
        <family val="2"/>
        <scheme val="minor"/>
      </rPr>
      <t>All the structure that has been taken in the area statemnet belonging to M/s. International Print O Pack Ltd.</t>
    </r>
  </si>
  <si>
    <r>
      <t>3.</t>
    </r>
    <r>
      <rPr>
        <i/>
        <sz val="10"/>
        <color theme="1"/>
        <rFont val="Calibri"/>
        <family val="2"/>
        <scheme val="minor"/>
      </rPr>
      <t xml:space="preserve"> The valuation is done by considering the depreciated replacement cost approach.</t>
    </r>
  </si>
  <si>
    <t>Part no.</t>
  </si>
  <si>
    <t>Part no. 1 (plot no. C-7, C-7A, C-8 &amp; C-8A )</t>
  </si>
  <si>
    <t>Part no. 2 (plot no. C-4,C-5, C-6, C-9, C-10, C-11)</t>
  </si>
  <si>
    <t>Area (in sq. mtr.)</t>
  </si>
  <si>
    <t>Adopted land Rate( Rs./sq. mtr.)</t>
  </si>
  <si>
    <t>Existing covered area (in sq.mtr.)</t>
  </si>
  <si>
    <t>Existing Ground Coverage (in sq. mtr.)</t>
  </si>
  <si>
    <t xml:space="preserve">Permissible Ground coverage (in sq. mtr.)@ 55 % </t>
  </si>
  <si>
    <t>Permissibe Area (in sq. mtr.) @ FAR=1</t>
  </si>
  <si>
    <t>Part wise Provision of Building by-laws as applicable for the property of M/s. International Print O Pack Ltd. |Phase II Extension, Noida</t>
  </si>
  <si>
    <t>Note:</t>
  </si>
  <si>
    <t>Main Porch</t>
  </si>
  <si>
    <r>
      <t xml:space="preserve">1. </t>
    </r>
    <r>
      <rPr>
        <b/>
        <i/>
        <sz val="10"/>
        <color theme="1"/>
        <rFont val="Calibri"/>
        <family val="2"/>
        <scheme val="minor"/>
      </rPr>
      <t>All the details pertaing to the building area statement such as area, floor, etc has been taken from building area statement has been provided to us by the bank / client.</t>
    </r>
  </si>
  <si>
    <t>3. As per the demarcated site plan given to us the covered area of main porch and basement are being shared by both part of the land parcel. However However we do not have any bifurcated building area details for individual part of the land so, we have considered both of the building area inside part 2 i.e. plot no. C-4,C-5, C-6, C-9, C-10 &amp; C-11.</t>
  </si>
  <si>
    <r>
      <t xml:space="preserve">1. </t>
    </r>
    <r>
      <rPr>
        <i/>
        <sz val="10"/>
        <color theme="1"/>
        <rFont val="Calibri"/>
        <family val="2"/>
        <scheme val="minor"/>
      </rPr>
      <t>All the details pertaing to the building area statement such as area, floor, etc has been taken from building area statement has been provided to us by the bank / client.</t>
    </r>
  </si>
  <si>
    <t>4. As per by laws for part 2 i.e. plot no. C-4,C-5, C-6, C-9, C-10 &amp; C-11 the existing covered area is exceeding the permissible covered area</t>
  </si>
  <si>
    <t>Building</t>
  </si>
  <si>
    <t>Land Value</t>
  </si>
  <si>
    <t>Building Value</t>
  </si>
  <si>
    <t>Rate(Rs. Per sq. mtr.)</t>
  </si>
  <si>
    <t>Total</t>
  </si>
  <si>
    <t>Total Value</t>
  </si>
  <si>
    <t>Fair Market Value</t>
  </si>
  <si>
    <t>BIFURCATED VALUATION OF LAND &amp; BUILDING OF M/S. INTERNATIONAL PRINT O PACK LTD. | PHASE II EXTENSION, NOIDA</t>
  </si>
  <si>
    <t xml:space="preserve">Land </t>
  </si>
  <si>
    <t>Boundary wall</t>
  </si>
  <si>
    <t>Total (Round off)</t>
  </si>
  <si>
    <t>RV</t>
  </si>
  <si>
    <t>DV</t>
  </si>
  <si>
    <t xml:space="preserve">Not information provided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</si>
</sst>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0.0"/>
    <numFmt numFmtId="165" formatCode="_ * #,##0_ ;_ * \-#,##0_ ;_ * &quot;-&quot;??_ ;_ @_ "/>
    <numFmt numFmtId="166" formatCode="0.0000"/>
    <numFmt numFmtId="167" formatCode="_ &quot;₹&quot;\ * #,##0_ ;_ &quot;₹&quot;\ * \-#,##0_ ;_ &quot;₹&quot;\ * &quot;-&quot;??_ ;_ @_ "/>
    <numFmt numFmtId="168" formatCode="_ [$₹-4009]\ * #,##0_ ;_ [$₹-4009]\ * \-#,##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2"/>
      <color theme="0"/>
      <name val="Calibri"/>
      <family val="2"/>
      <scheme val="minor"/>
    </font>
    <font>
      <b/>
      <i/>
      <sz val="1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1E366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xf>
    <xf numFmtId="0" fontId="2" fillId="2" borderId="2" xfId="0" applyFont="1" applyFill="1" applyBorder="1" applyAlignment="1">
      <alignment horizontal="center" vertical="center"/>
    </xf>
    <xf numFmtId="1" fontId="0" fillId="0" borderId="2" xfId="0" applyNumberFormat="1" applyBorder="1" applyAlignment="1">
      <alignment horizont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165" fontId="4" fillId="3"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1" applyNumberFormat="1" applyFont="1" applyBorder="1" applyAlignment="1">
      <alignment horizontal="center" vertical="center"/>
    </xf>
    <xf numFmtId="1" fontId="0" fillId="0" borderId="2" xfId="0" applyNumberFormat="1" applyBorder="1" applyAlignment="1">
      <alignment horizontal="center" vertical="center"/>
    </xf>
    <xf numFmtId="9" fontId="0" fillId="0" borderId="2" xfId="0" applyNumberFormat="1" applyBorder="1" applyAlignment="1">
      <alignment horizontal="center" vertical="center"/>
    </xf>
    <xf numFmtId="166" fontId="0" fillId="0" borderId="2" xfId="0" applyNumberFormat="1" applyBorder="1" applyAlignment="1">
      <alignment horizontal="center" vertical="center"/>
    </xf>
    <xf numFmtId="167" fontId="0" fillId="0" borderId="2" xfId="2" applyNumberFormat="1" applyFont="1" applyBorder="1" applyAlignment="1">
      <alignment horizontal="center" vertical="center"/>
    </xf>
    <xf numFmtId="9" fontId="0" fillId="0" borderId="2" xfId="3" applyFont="1" applyBorder="1" applyAlignment="1">
      <alignment horizontal="center" vertical="center"/>
    </xf>
    <xf numFmtId="0" fontId="2" fillId="0" borderId="2" xfId="1" applyNumberFormat="1" applyFont="1" applyBorder="1" applyAlignment="1">
      <alignment horizontal="center" vertical="center"/>
    </xf>
    <xf numFmtId="167" fontId="2" fillId="0" borderId="2" xfId="2" applyNumberFormat="1" applyFont="1" applyBorder="1" applyAlignment="1">
      <alignment horizontal="center" vertical="center"/>
    </xf>
    <xf numFmtId="9" fontId="2" fillId="0" borderId="2" xfId="3" applyFont="1" applyBorder="1" applyAlignment="1">
      <alignment horizontal="center" vertical="center"/>
    </xf>
    <xf numFmtId="2" fontId="0" fillId="0" borderId="2" xfId="0" applyNumberFormat="1" applyBorder="1" applyAlignment="1">
      <alignment horizontal="center" vertical="center" wrapText="1"/>
    </xf>
    <xf numFmtId="2" fontId="2" fillId="0" borderId="2" xfId="0" applyNumberFormat="1" applyFont="1" applyBorder="1" applyAlignment="1">
      <alignment horizontal="center" vertical="center" wrapText="1"/>
    </xf>
    <xf numFmtId="168" fontId="3" fillId="0" borderId="2" xfId="1" applyNumberFormat="1" applyFont="1" applyBorder="1" applyAlignment="1">
      <alignment horizontal="center"/>
    </xf>
    <xf numFmtId="0" fontId="2" fillId="2" borderId="2" xfId="0" applyFont="1" applyFill="1" applyBorder="1" applyAlignment="1">
      <alignment horizontal="center" vertical="center" wrapText="1"/>
    </xf>
    <xf numFmtId="0" fontId="0" fillId="0" borderId="3" xfId="0" applyBorder="1" applyAlignment="1">
      <alignment horizontal="center"/>
    </xf>
    <xf numFmtId="165" fontId="3" fillId="0" borderId="2" xfId="1" applyNumberFormat="1" applyFont="1" applyBorder="1" applyAlignment="1">
      <alignment horizontal="center"/>
    </xf>
    <xf numFmtId="0" fontId="0" fillId="0" borderId="1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2" xfId="0" applyBorder="1" applyAlignment="1">
      <alignment wrapText="1"/>
    </xf>
    <xf numFmtId="168" fontId="0" fillId="0" borderId="2" xfId="0" applyNumberFormat="1" applyBorder="1"/>
    <xf numFmtId="0" fontId="0" fillId="0" borderId="2" xfId="0" applyBorder="1" applyAlignment="1">
      <alignment horizontal="center" vertical="center"/>
    </xf>
    <xf numFmtId="0" fontId="5" fillId="4" borderId="1" xfId="0" applyFont="1" applyFill="1" applyBorder="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168" fontId="0" fillId="0" borderId="6" xfId="1" applyNumberFormat="1" applyFont="1" applyBorder="1" applyAlignment="1">
      <alignment horizontal="center" vertical="center"/>
    </xf>
    <xf numFmtId="168" fontId="0" fillId="0" borderId="7" xfId="1" applyNumberFormat="1" applyFont="1" applyBorder="1" applyAlignment="1">
      <alignment horizontal="center" vertical="center"/>
    </xf>
    <xf numFmtId="168" fontId="0" fillId="0" borderId="8" xfId="1"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wrapText="1"/>
    </xf>
    <xf numFmtId="0" fontId="2" fillId="2" borderId="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wrapText="1"/>
    </xf>
    <xf numFmtId="0" fontId="8" fillId="0" borderId="2" xfId="0" applyFont="1" applyBorder="1" applyAlignment="1">
      <alignment horizontal="left"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wrapText="1"/>
    </xf>
    <xf numFmtId="168" fontId="2" fillId="0" borderId="2"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168"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8" fontId="0" fillId="0" borderId="10" xfId="0" applyNumberFormat="1" applyBorder="1" applyAlignment="1">
      <alignment horizontal="center" vertical="center"/>
    </xf>
    <xf numFmtId="168" fontId="0" fillId="0" borderId="9" xfId="0" applyNumberFormat="1" applyBorder="1" applyAlignment="1">
      <alignment horizontal="center" vertical="center"/>
    </xf>
    <xf numFmtId="168" fontId="0" fillId="0" borderId="11"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0" xfId="0" applyNumberFormat="1" applyBorder="1" applyAlignment="1">
      <alignment horizontal="center" vertical="center"/>
    </xf>
    <xf numFmtId="168" fontId="0" fillId="0" borderId="13" xfId="0" applyNumberFormat="1" applyBorder="1" applyAlignment="1">
      <alignment horizontal="center" vertical="center"/>
    </xf>
    <xf numFmtId="168" fontId="0" fillId="0" borderId="14" xfId="0" applyNumberFormat="1" applyBorder="1" applyAlignment="1">
      <alignment horizontal="center" vertical="center"/>
    </xf>
    <xf numFmtId="168" fontId="0" fillId="0" borderId="1" xfId="0" applyNumberFormat="1" applyBorder="1" applyAlignment="1">
      <alignment horizontal="center" vertical="center"/>
    </xf>
    <xf numFmtId="168" fontId="0" fillId="0" borderId="15" xfId="0" applyNumberFormat="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165" fontId="3" fillId="0" borderId="3" xfId="1" applyNumberFormat="1" applyFont="1" applyBorder="1" applyAlignment="1">
      <alignment horizontal="center"/>
    </xf>
    <xf numFmtId="165" fontId="3" fillId="0" borderId="5" xfId="1" applyNumberFormat="1" applyFont="1" applyBorder="1" applyAlignment="1">
      <alignment horizontal="center"/>
    </xf>
    <xf numFmtId="0" fontId="2" fillId="2" borderId="4" xfId="0" applyFont="1" applyFill="1" applyBorder="1" applyAlignment="1">
      <alignment horizontal="center" vertical="center"/>
    </xf>
    <xf numFmtId="165" fontId="0" fillId="0" borderId="2" xfId="1" applyNumberFormat="1" applyFont="1" applyBorder="1" applyAlignment="1">
      <alignment horizontal="center" vertical="center" wrapText="1"/>
    </xf>
    <xf numFmtId="168" fontId="0" fillId="0" borderId="6" xfId="1" applyNumberFormat="1" applyFont="1" applyBorder="1" applyAlignment="1">
      <alignment horizontal="center" vertical="center" wrapText="1"/>
    </xf>
    <xf numFmtId="168" fontId="0" fillId="0" borderId="7" xfId="1" applyNumberFormat="1" applyFont="1" applyBorder="1" applyAlignment="1">
      <alignment horizontal="center" vertical="center" wrapText="1"/>
    </xf>
    <xf numFmtId="168" fontId="0" fillId="0" borderId="8" xfId="1" applyNumberFormat="1" applyFont="1" applyBorder="1" applyAlignment="1">
      <alignment horizontal="center" vertical="center" wrapText="1"/>
    </xf>
    <xf numFmtId="2" fontId="0" fillId="0" borderId="2" xfId="0" applyNumberFormat="1" applyBorder="1" applyAlignment="1">
      <alignment horizontal="center" vertical="center"/>
    </xf>
    <xf numFmtId="168" fontId="0" fillId="0" borderId="2" xfId="1" applyNumberFormat="1" applyFont="1" applyBorder="1" applyAlignment="1">
      <alignment horizontal="center" vertical="center" wrapText="1"/>
    </xf>
    <xf numFmtId="164" fontId="0" fillId="0" borderId="6" xfId="0" applyNumberFormat="1" applyFill="1" applyBorder="1" applyAlignment="1">
      <alignment horizontal="center" vertical="center" wrapText="1"/>
    </xf>
    <xf numFmtId="164" fontId="0" fillId="0" borderId="8" xfId="0" applyNumberFormat="1" applyFill="1" applyBorder="1" applyAlignment="1">
      <alignment horizontal="center" vertical="center" wrapText="1"/>
    </xf>
    <xf numFmtId="0" fontId="2" fillId="0" borderId="2" xfId="0" applyFont="1" applyBorder="1" applyAlignment="1">
      <alignment horizontal="left"/>
    </xf>
    <xf numFmtId="1" fontId="0" fillId="0" borderId="6" xfId="0" applyNumberFormat="1" applyFill="1" applyBorder="1" applyAlignment="1">
      <alignment horizontal="center" vertical="center" wrapText="1"/>
    </xf>
    <xf numFmtId="1" fontId="0" fillId="0" borderId="8" xfId="0" applyNumberFormat="1" applyFill="1" applyBorder="1" applyAlignment="1">
      <alignment horizontal="center" vertical="center" wrapText="1"/>
    </xf>
    <xf numFmtId="1" fontId="0" fillId="0" borderId="2" xfId="0" applyNumberFormat="1" applyBorder="1" applyAlignment="1">
      <alignment horizontal="center" vertical="center"/>
    </xf>
    <xf numFmtId="0" fontId="0" fillId="0" borderId="2" xfId="0" applyFill="1" applyBorder="1" applyAlignment="1">
      <alignment horizontal="center" vertical="center" wrapText="1"/>
    </xf>
    <xf numFmtId="164" fontId="0" fillId="0" borderId="2"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6"/>
  <sheetViews>
    <sheetView zoomScale="85" zoomScaleNormal="85" workbookViewId="0">
      <selection activeCell="C1" sqref="C1:O16"/>
    </sheetView>
  </sheetViews>
  <sheetFormatPr defaultRowHeight="15" x14ac:dyDescent="0.25"/>
  <cols>
    <col min="2" max="2" width="7.140625" customWidth="1"/>
    <col min="4" max="4" width="14.7109375" customWidth="1"/>
    <col min="5" max="6" width="9.140625" customWidth="1"/>
    <col min="7" max="7" width="10.28515625" customWidth="1"/>
    <col min="8" max="8" width="10.7109375" customWidth="1"/>
    <col min="9" max="9" width="6.5703125" customWidth="1"/>
    <col min="10" max="10" width="7.28515625" customWidth="1"/>
    <col min="11" max="11" width="5.140625" customWidth="1"/>
    <col min="12" max="12" width="7.42578125" customWidth="1"/>
    <col min="13" max="13" width="16.140625" customWidth="1"/>
    <col min="14" max="14" width="26.140625" customWidth="1"/>
    <col min="15" max="15" width="18.7109375" style="1" customWidth="1"/>
  </cols>
  <sheetData>
    <row r="1" spans="3:15" ht="33" customHeight="1" x14ac:dyDescent="0.25">
      <c r="C1" s="33" t="s">
        <v>27</v>
      </c>
      <c r="D1" s="33"/>
      <c r="E1" s="33"/>
      <c r="F1" s="33"/>
      <c r="G1" s="33"/>
      <c r="H1" s="33"/>
      <c r="I1" s="33"/>
      <c r="J1" s="33"/>
      <c r="K1" s="33"/>
      <c r="L1" s="33"/>
      <c r="M1" s="33"/>
      <c r="N1" s="33"/>
      <c r="O1" s="33"/>
    </row>
    <row r="2" spans="3:15" ht="21" customHeight="1" x14ac:dyDescent="0.25">
      <c r="C2" s="40" t="s">
        <v>4</v>
      </c>
      <c r="D2" s="40" t="s">
        <v>0</v>
      </c>
      <c r="E2" s="40" t="s">
        <v>2</v>
      </c>
      <c r="F2" s="40"/>
      <c r="G2" s="40"/>
      <c r="H2" s="40"/>
      <c r="I2" s="42" t="s">
        <v>3</v>
      </c>
      <c r="J2" s="42"/>
      <c r="K2" s="42"/>
      <c r="L2" s="42"/>
      <c r="M2" s="41" t="s">
        <v>67</v>
      </c>
      <c r="N2" s="42" t="s">
        <v>1</v>
      </c>
      <c r="O2" s="42" t="s">
        <v>26</v>
      </c>
    </row>
    <row r="3" spans="3:15" ht="30.75" customHeight="1" x14ac:dyDescent="0.25">
      <c r="C3" s="40"/>
      <c r="D3" s="40"/>
      <c r="E3" s="6" t="s">
        <v>15</v>
      </c>
      <c r="F3" s="6" t="s">
        <v>16</v>
      </c>
      <c r="G3" s="6" t="s">
        <v>17</v>
      </c>
      <c r="H3" s="6" t="s">
        <v>18</v>
      </c>
      <c r="I3" s="6" t="s">
        <v>15</v>
      </c>
      <c r="J3" s="6" t="s">
        <v>16</v>
      </c>
      <c r="K3" s="6" t="s">
        <v>17</v>
      </c>
      <c r="L3" s="6" t="s">
        <v>18</v>
      </c>
      <c r="M3" s="41"/>
      <c r="N3" s="42"/>
      <c r="O3" s="42"/>
    </row>
    <row r="4" spans="3:15" x14ac:dyDescent="0.25">
      <c r="C4" s="32">
        <v>1</v>
      </c>
      <c r="D4" s="5" t="s">
        <v>5</v>
      </c>
      <c r="E4" s="49" t="s">
        <v>22</v>
      </c>
      <c r="F4" s="49" t="s">
        <v>21</v>
      </c>
      <c r="G4" s="49" t="s">
        <v>19</v>
      </c>
      <c r="H4" s="49" t="s">
        <v>20</v>
      </c>
      <c r="I4" s="32">
        <f>33.33+44.5</f>
        <v>77.83</v>
      </c>
      <c r="J4" s="32">
        <f>I4</f>
        <v>77.83</v>
      </c>
      <c r="K4" s="32">
        <v>180</v>
      </c>
      <c r="L4" s="32">
        <v>180</v>
      </c>
      <c r="M4" s="43">
        <v>22000</v>
      </c>
      <c r="N4" s="7">
        <f>33.33*90</f>
        <v>2999.7</v>
      </c>
      <c r="O4" s="37">
        <f>N8*M4</f>
        <v>308220000</v>
      </c>
    </row>
    <row r="5" spans="3:15" x14ac:dyDescent="0.25">
      <c r="C5" s="32"/>
      <c r="D5" s="5" t="s">
        <v>6</v>
      </c>
      <c r="E5" s="49"/>
      <c r="F5" s="49"/>
      <c r="G5" s="49"/>
      <c r="H5" s="49"/>
      <c r="I5" s="32"/>
      <c r="J5" s="32"/>
      <c r="K5" s="32"/>
      <c r="L5" s="32"/>
      <c r="M5" s="44"/>
      <c r="N5" s="7">
        <f>44.5*90</f>
        <v>4005</v>
      </c>
      <c r="O5" s="38"/>
    </row>
    <row r="6" spans="3:15" x14ac:dyDescent="0.25">
      <c r="C6" s="32"/>
      <c r="D6" s="5" t="s">
        <v>7</v>
      </c>
      <c r="E6" s="49"/>
      <c r="F6" s="49"/>
      <c r="G6" s="49"/>
      <c r="H6" s="49"/>
      <c r="I6" s="32"/>
      <c r="J6" s="32"/>
      <c r="K6" s="32"/>
      <c r="L6" s="32"/>
      <c r="M6" s="44"/>
      <c r="N6" s="7">
        <f>N4</f>
        <v>2999.7</v>
      </c>
      <c r="O6" s="38"/>
    </row>
    <row r="7" spans="3:15" x14ac:dyDescent="0.25">
      <c r="C7" s="32"/>
      <c r="D7" s="5" t="s">
        <v>8</v>
      </c>
      <c r="E7" s="49"/>
      <c r="F7" s="49"/>
      <c r="G7" s="49"/>
      <c r="H7" s="49"/>
      <c r="I7" s="32"/>
      <c r="J7" s="32"/>
      <c r="K7" s="32"/>
      <c r="L7" s="32"/>
      <c r="M7" s="45"/>
      <c r="N7" s="7">
        <f>N5</f>
        <v>4005</v>
      </c>
      <c r="O7" s="38"/>
    </row>
    <row r="8" spans="3:15" ht="15.75" x14ac:dyDescent="0.25">
      <c r="C8" s="46"/>
      <c r="D8" s="47"/>
      <c r="E8" s="47"/>
      <c r="F8" s="47"/>
      <c r="G8" s="47"/>
      <c r="H8" s="47"/>
      <c r="I8" s="47"/>
      <c r="J8" s="47"/>
      <c r="K8" s="47"/>
      <c r="L8" s="48"/>
      <c r="M8" s="4"/>
      <c r="N8" s="26">
        <v>14010</v>
      </c>
      <c r="O8" s="39"/>
    </row>
    <row r="9" spans="3:15" x14ac:dyDescent="0.25">
      <c r="C9" s="32">
        <v>2</v>
      </c>
      <c r="D9" s="5" t="s">
        <v>9</v>
      </c>
      <c r="E9" s="49" t="s">
        <v>22</v>
      </c>
      <c r="F9" s="49" t="s">
        <v>21</v>
      </c>
      <c r="G9" s="49" t="s">
        <v>23</v>
      </c>
      <c r="H9" s="49" t="s">
        <v>24</v>
      </c>
      <c r="I9" s="32">
        <f>33.33*3</f>
        <v>99.99</v>
      </c>
      <c r="J9" s="32">
        <f>I9</f>
        <v>99.99</v>
      </c>
      <c r="K9" s="32">
        <v>180</v>
      </c>
      <c r="L9" s="32">
        <v>180</v>
      </c>
      <c r="M9" s="43">
        <v>22000</v>
      </c>
      <c r="N9" s="7">
        <f>33.33*90</f>
        <v>2999.7</v>
      </c>
      <c r="O9" s="37">
        <f>N15*M9</f>
        <v>396000000</v>
      </c>
    </row>
    <row r="10" spans="3:15" x14ac:dyDescent="0.25">
      <c r="C10" s="32"/>
      <c r="D10" s="5" t="s">
        <v>10</v>
      </c>
      <c r="E10" s="49"/>
      <c r="F10" s="49"/>
      <c r="G10" s="49"/>
      <c r="H10" s="49"/>
      <c r="I10" s="32"/>
      <c r="J10" s="32"/>
      <c r="K10" s="32"/>
      <c r="L10" s="32"/>
      <c r="M10" s="44"/>
      <c r="N10" s="7">
        <f t="shared" ref="N10:N14" si="0">33.33*90</f>
        <v>2999.7</v>
      </c>
      <c r="O10" s="38"/>
    </row>
    <row r="11" spans="3:15" x14ac:dyDescent="0.25">
      <c r="C11" s="32"/>
      <c r="D11" s="5" t="s">
        <v>11</v>
      </c>
      <c r="E11" s="49"/>
      <c r="F11" s="49"/>
      <c r="G11" s="49"/>
      <c r="H11" s="49"/>
      <c r="I11" s="32"/>
      <c r="J11" s="32"/>
      <c r="K11" s="32"/>
      <c r="L11" s="32"/>
      <c r="M11" s="44"/>
      <c r="N11" s="7">
        <f t="shared" si="0"/>
        <v>2999.7</v>
      </c>
      <c r="O11" s="38"/>
    </row>
    <row r="12" spans="3:15" x14ac:dyDescent="0.25">
      <c r="C12" s="32"/>
      <c r="D12" s="5" t="s">
        <v>12</v>
      </c>
      <c r="E12" s="49"/>
      <c r="F12" s="49"/>
      <c r="G12" s="49"/>
      <c r="H12" s="49"/>
      <c r="I12" s="32"/>
      <c r="J12" s="32"/>
      <c r="K12" s="32"/>
      <c r="L12" s="32"/>
      <c r="M12" s="44"/>
      <c r="N12" s="7">
        <f t="shared" si="0"/>
        <v>2999.7</v>
      </c>
      <c r="O12" s="38"/>
    </row>
    <row r="13" spans="3:15" x14ac:dyDescent="0.25">
      <c r="C13" s="32"/>
      <c r="D13" s="5" t="s">
        <v>13</v>
      </c>
      <c r="E13" s="49"/>
      <c r="F13" s="49"/>
      <c r="G13" s="49"/>
      <c r="H13" s="49"/>
      <c r="I13" s="32"/>
      <c r="J13" s="32"/>
      <c r="K13" s="32"/>
      <c r="L13" s="32"/>
      <c r="M13" s="44"/>
      <c r="N13" s="7">
        <f t="shared" si="0"/>
        <v>2999.7</v>
      </c>
      <c r="O13" s="38"/>
    </row>
    <row r="14" spans="3:15" ht="14.25" customHeight="1" x14ac:dyDescent="0.25">
      <c r="C14" s="32"/>
      <c r="D14" s="5" t="s">
        <v>14</v>
      </c>
      <c r="E14" s="49"/>
      <c r="F14" s="49"/>
      <c r="G14" s="49"/>
      <c r="H14" s="49"/>
      <c r="I14" s="32"/>
      <c r="J14" s="32"/>
      <c r="K14" s="32"/>
      <c r="L14" s="32"/>
      <c r="M14" s="45"/>
      <c r="N14" s="7">
        <f t="shared" si="0"/>
        <v>2999.7</v>
      </c>
      <c r="O14" s="38"/>
    </row>
    <row r="15" spans="3:15" ht="15.75" x14ac:dyDescent="0.25">
      <c r="C15" s="46"/>
      <c r="D15" s="47"/>
      <c r="E15" s="47"/>
      <c r="F15" s="47"/>
      <c r="G15" s="47"/>
      <c r="H15" s="47"/>
      <c r="I15" s="47"/>
      <c r="J15" s="47"/>
      <c r="K15" s="47"/>
      <c r="L15" s="48"/>
      <c r="M15" s="4"/>
      <c r="N15" s="26">
        <v>18000</v>
      </c>
      <c r="O15" s="39"/>
    </row>
    <row r="16" spans="3:15" ht="15.75" x14ac:dyDescent="0.25">
      <c r="C16" s="34" t="s">
        <v>25</v>
      </c>
      <c r="D16" s="35"/>
      <c r="E16" s="35"/>
      <c r="F16" s="35"/>
      <c r="G16" s="35"/>
      <c r="H16" s="35"/>
      <c r="I16" s="35"/>
      <c r="J16" s="35"/>
      <c r="K16" s="35"/>
      <c r="L16" s="35"/>
      <c r="M16" s="36"/>
      <c r="N16" s="26">
        <f>N15+N8</f>
        <v>32010</v>
      </c>
      <c r="O16" s="23">
        <f>O9+O4</f>
        <v>704220000</v>
      </c>
    </row>
  </sheetData>
  <mergeCells count="33">
    <mergeCell ref="J9:J14"/>
    <mergeCell ref="J4:J7"/>
    <mergeCell ref="C4:C7"/>
    <mergeCell ref="C9:C14"/>
    <mergeCell ref="E2:H2"/>
    <mergeCell ref="I2:L2"/>
    <mergeCell ref="E4:E7"/>
    <mergeCell ref="F4:F7"/>
    <mergeCell ref="G4:G7"/>
    <mergeCell ref="H4:H7"/>
    <mergeCell ref="I4:I7"/>
    <mergeCell ref="L4:L7"/>
    <mergeCell ref="E9:E14"/>
    <mergeCell ref="F9:F14"/>
    <mergeCell ref="G9:G14"/>
    <mergeCell ref="H9:H14"/>
    <mergeCell ref="I9:I14"/>
    <mergeCell ref="K4:K7"/>
    <mergeCell ref="K9:K14"/>
    <mergeCell ref="C1:O1"/>
    <mergeCell ref="C16:M16"/>
    <mergeCell ref="O4:O8"/>
    <mergeCell ref="O9:O15"/>
    <mergeCell ref="C2:C3"/>
    <mergeCell ref="D2:D3"/>
    <mergeCell ref="M2:M3"/>
    <mergeCell ref="N2:N3"/>
    <mergeCell ref="O2:O3"/>
    <mergeCell ref="M4:M7"/>
    <mergeCell ref="M9:M14"/>
    <mergeCell ref="L9:L14"/>
    <mergeCell ref="C8:L8"/>
    <mergeCell ref="C15:L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20"/>
  <sheetViews>
    <sheetView topLeftCell="A9" zoomScaleNormal="100" workbookViewId="0">
      <selection activeCell="U4" sqref="U4"/>
    </sheetView>
  </sheetViews>
  <sheetFormatPr defaultRowHeight="15" x14ac:dyDescent="0.25"/>
  <cols>
    <col min="1" max="1" width="7" customWidth="1"/>
    <col min="2" max="2" width="6.7109375" customWidth="1"/>
    <col min="3" max="3" width="12" customWidth="1"/>
    <col min="4" max="4" width="14.5703125" customWidth="1"/>
    <col min="5" max="5" width="12.5703125" customWidth="1"/>
    <col min="6" max="6" width="23" customWidth="1"/>
    <col min="7" max="7" width="11.28515625" customWidth="1"/>
    <col min="9" max="9" width="7.85546875" customWidth="1"/>
    <col min="10" max="10" width="11.5703125" customWidth="1"/>
    <col min="11" max="11" width="11.42578125" hidden="1" customWidth="1"/>
    <col min="12" max="12" width="10.140625" customWidth="1"/>
    <col min="13" max="13" width="9.42578125" customWidth="1"/>
    <col min="14" max="14" width="0" hidden="1" customWidth="1"/>
    <col min="15" max="15" width="11.140625" hidden="1" customWidth="1"/>
    <col min="17" max="17" width="15.5703125" customWidth="1"/>
    <col min="18" max="19" width="0" hidden="1" customWidth="1"/>
    <col min="20" max="20" width="11.140625" hidden="1" customWidth="1"/>
    <col min="21" max="21" width="17.5703125" customWidth="1"/>
  </cols>
  <sheetData>
    <row r="3" spans="2:25" ht="15.75" x14ac:dyDescent="0.25">
      <c r="B3" s="68" t="s">
        <v>28</v>
      </c>
      <c r="C3" s="69"/>
      <c r="D3" s="69"/>
      <c r="E3" s="69"/>
      <c r="F3" s="69"/>
      <c r="G3" s="69"/>
      <c r="H3" s="69"/>
      <c r="I3" s="69"/>
      <c r="J3" s="69"/>
      <c r="K3" s="69"/>
      <c r="L3" s="69"/>
      <c r="M3" s="69"/>
      <c r="N3" s="69"/>
      <c r="O3" s="69"/>
      <c r="P3" s="69"/>
      <c r="Q3" s="69"/>
      <c r="R3" s="69"/>
      <c r="S3" s="69"/>
      <c r="T3" s="69"/>
      <c r="U3" s="70"/>
    </row>
    <row r="4" spans="2:25" ht="45" customHeight="1" x14ac:dyDescent="0.25">
      <c r="B4" s="8" t="s">
        <v>29</v>
      </c>
      <c r="C4" s="8" t="s">
        <v>63</v>
      </c>
      <c r="D4" s="8" t="s">
        <v>30</v>
      </c>
      <c r="E4" s="9" t="s">
        <v>31</v>
      </c>
      <c r="F4" s="9" t="s">
        <v>32</v>
      </c>
      <c r="G4" s="9" t="s">
        <v>66</v>
      </c>
      <c r="H4" s="10" t="s">
        <v>33</v>
      </c>
      <c r="I4" s="9" t="s">
        <v>34</v>
      </c>
      <c r="J4" s="9" t="s">
        <v>35</v>
      </c>
      <c r="K4" s="9" t="s">
        <v>36</v>
      </c>
      <c r="L4" s="9" t="s">
        <v>37</v>
      </c>
      <c r="M4" s="9" t="s">
        <v>38</v>
      </c>
      <c r="N4" s="9" t="s">
        <v>39</v>
      </c>
      <c r="O4" s="9" t="s">
        <v>40</v>
      </c>
      <c r="P4" s="9" t="s">
        <v>41</v>
      </c>
      <c r="Q4" s="9" t="s">
        <v>42</v>
      </c>
      <c r="R4" s="9" t="s">
        <v>43</v>
      </c>
      <c r="S4" s="9" t="s">
        <v>44</v>
      </c>
      <c r="T4" s="9" t="s">
        <v>45</v>
      </c>
      <c r="U4" s="9" t="s">
        <v>46</v>
      </c>
    </row>
    <row r="5" spans="2:25" ht="46.5" customHeight="1" x14ac:dyDescent="0.25">
      <c r="B5" s="11">
        <v>1</v>
      </c>
      <c r="C5" s="51" t="s">
        <v>64</v>
      </c>
      <c r="D5" s="3" t="s">
        <v>47</v>
      </c>
      <c r="E5" s="3" t="s">
        <v>48</v>
      </c>
      <c r="F5" s="3" t="s">
        <v>49</v>
      </c>
      <c r="G5" s="21">
        <v>9888.48</v>
      </c>
      <c r="H5" s="12">
        <f>G5*10.764</f>
        <v>106439.59871999999</v>
      </c>
      <c r="I5" s="13">
        <v>36</v>
      </c>
      <c r="J5" s="2">
        <v>1997</v>
      </c>
      <c r="K5" s="2">
        <v>2022</v>
      </c>
      <c r="L5" s="2">
        <f>K5-J5</f>
        <v>25</v>
      </c>
      <c r="M5" s="2">
        <v>60</v>
      </c>
      <c r="N5" s="14">
        <v>0.1</v>
      </c>
      <c r="O5" s="15">
        <f>(1-N5)/M5</f>
        <v>1.5000000000000001E-2</v>
      </c>
      <c r="P5" s="16">
        <v>1300</v>
      </c>
      <c r="Q5" s="16">
        <f>P5*H5</f>
        <v>138371478.336</v>
      </c>
      <c r="R5" s="16">
        <f t="shared" ref="R5:R10" si="0">Q5*O5*L5</f>
        <v>51889304.376000002</v>
      </c>
      <c r="S5" s="16">
        <f t="shared" ref="S5:S10" si="1">MAX(Q5-R5,0)</f>
        <v>86482173.959999993</v>
      </c>
      <c r="T5" s="17">
        <v>0.05</v>
      </c>
      <c r="U5" s="16">
        <f t="shared" ref="U5:U12" si="2">IF(S5&gt;N5*Q5,S5*(1-T5),Q5*N5)</f>
        <v>82158065.261999995</v>
      </c>
      <c r="Y5">
        <f>H7/10.764</f>
        <v>19912.48</v>
      </c>
    </row>
    <row r="6" spans="2:25" ht="41.25" customHeight="1" x14ac:dyDescent="0.25">
      <c r="B6" s="11">
        <v>2</v>
      </c>
      <c r="C6" s="52"/>
      <c r="D6" s="3" t="s">
        <v>47</v>
      </c>
      <c r="E6" s="3" t="s">
        <v>50</v>
      </c>
      <c r="F6" s="3" t="s">
        <v>49</v>
      </c>
      <c r="G6" s="21">
        <v>10024</v>
      </c>
      <c r="H6" s="12">
        <f>G6*10.764</f>
        <v>107898.336</v>
      </c>
      <c r="I6" s="13">
        <v>45</v>
      </c>
      <c r="J6" s="2">
        <v>2004</v>
      </c>
      <c r="K6" s="2">
        <v>2022</v>
      </c>
      <c r="L6" s="2">
        <f t="shared" ref="L6:L13" si="3">K6-J6</f>
        <v>18</v>
      </c>
      <c r="M6" s="2">
        <v>60</v>
      </c>
      <c r="N6" s="14">
        <v>0.1</v>
      </c>
      <c r="O6" s="15">
        <f>(1-N6)/M6</f>
        <v>1.5000000000000001E-2</v>
      </c>
      <c r="P6" s="16">
        <v>1300</v>
      </c>
      <c r="Q6" s="16">
        <f>P6*H6</f>
        <v>140267836.79999998</v>
      </c>
      <c r="R6" s="16">
        <f>Q6*O6*L6</f>
        <v>37872315.935999997</v>
      </c>
      <c r="S6" s="16">
        <f>MAX(Q6-R6,0)</f>
        <v>102395520.86399999</v>
      </c>
      <c r="T6" s="17">
        <v>0.05</v>
      </c>
      <c r="U6" s="16">
        <f t="shared" si="2"/>
        <v>97275744.820799991</v>
      </c>
      <c r="Y6">
        <f>H14/10.764</f>
        <v>6788.7899999999991</v>
      </c>
    </row>
    <row r="7" spans="2:25" ht="27.75" customHeight="1" x14ac:dyDescent="0.25">
      <c r="B7" s="54" t="s">
        <v>59</v>
      </c>
      <c r="C7" s="55"/>
      <c r="D7" s="55"/>
      <c r="E7" s="55"/>
      <c r="F7" s="56"/>
      <c r="G7" s="22">
        <f>SUM(G5:G6)</f>
        <v>19912.48</v>
      </c>
      <c r="H7" s="12">
        <f>G7*10.764</f>
        <v>214337.93471999999</v>
      </c>
      <c r="I7" s="57"/>
      <c r="J7" s="58"/>
      <c r="K7" s="58"/>
      <c r="L7" s="58"/>
      <c r="M7" s="58"/>
      <c r="N7" s="58"/>
      <c r="O7" s="58"/>
      <c r="P7" s="59"/>
      <c r="Q7" s="19">
        <f>SUM(Q5:Q6)</f>
        <v>278639315.13599998</v>
      </c>
      <c r="R7" s="19"/>
      <c r="S7" s="19"/>
      <c r="T7" s="20"/>
      <c r="U7" s="19">
        <f>SUM(U5:U6)</f>
        <v>179433810.08279997</v>
      </c>
    </row>
    <row r="8" spans="2:25" ht="45" customHeight="1" x14ac:dyDescent="0.25">
      <c r="B8" s="11">
        <v>3</v>
      </c>
      <c r="C8" s="51" t="s">
        <v>65</v>
      </c>
      <c r="D8" s="3" t="s">
        <v>51</v>
      </c>
      <c r="E8" s="3" t="s">
        <v>52</v>
      </c>
      <c r="F8" s="3" t="s">
        <v>49</v>
      </c>
      <c r="G8" s="21">
        <v>5268.48</v>
      </c>
      <c r="H8" s="12">
        <f>G8*10.764</f>
        <v>56709.918719999994</v>
      </c>
      <c r="I8" s="13">
        <v>15</v>
      </c>
      <c r="J8" s="2">
        <v>2014</v>
      </c>
      <c r="K8" s="2">
        <v>2022</v>
      </c>
      <c r="L8" s="2">
        <f t="shared" si="3"/>
        <v>8</v>
      </c>
      <c r="M8" s="2">
        <v>60</v>
      </c>
      <c r="N8" s="14">
        <v>0.1</v>
      </c>
      <c r="O8" s="15">
        <f t="shared" ref="O8:O9" si="4">(1-N8)/M8</f>
        <v>1.5000000000000001E-2</v>
      </c>
      <c r="P8" s="16">
        <v>1300</v>
      </c>
      <c r="Q8" s="16">
        <f t="shared" ref="Q8:Q9" si="5">P8*H8</f>
        <v>73722894.335999995</v>
      </c>
      <c r="R8" s="16">
        <f t="shared" ref="R8" si="6">Q8*O8*L8</f>
        <v>8846747.3203200009</v>
      </c>
      <c r="S8" s="16">
        <f t="shared" ref="S8" si="7">MAX(Q8-R8,0)</f>
        <v>64876147.015679993</v>
      </c>
      <c r="T8" s="17">
        <v>0.05</v>
      </c>
      <c r="U8" s="16">
        <f t="shared" si="2"/>
        <v>61632339.664895989</v>
      </c>
    </row>
    <row r="9" spans="2:25" ht="39.75" customHeight="1" x14ac:dyDescent="0.25">
      <c r="B9" s="11">
        <v>4</v>
      </c>
      <c r="C9" s="53"/>
      <c r="D9" s="2" t="s">
        <v>53</v>
      </c>
      <c r="E9" s="3" t="s">
        <v>74</v>
      </c>
      <c r="F9" s="3" t="s">
        <v>49</v>
      </c>
      <c r="G9" s="21">
        <v>414</v>
      </c>
      <c r="H9" s="12">
        <f t="shared" ref="H9:H13" si="8">G9*10.764</f>
        <v>4456.2959999999994</v>
      </c>
      <c r="I9" s="13">
        <v>12</v>
      </c>
      <c r="J9" s="2">
        <v>1998</v>
      </c>
      <c r="K9" s="2">
        <v>2022</v>
      </c>
      <c r="L9" s="2">
        <f t="shared" si="3"/>
        <v>24</v>
      </c>
      <c r="M9" s="2">
        <v>60</v>
      </c>
      <c r="N9" s="14">
        <v>0.1</v>
      </c>
      <c r="O9" s="15">
        <f t="shared" si="4"/>
        <v>1.5000000000000001E-2</v>
      </c>
      <c r="P9" s="16">
        <v>1300</v>
      </c>
      <c r="Q9" s="16">
        <f t="shared" si="5"/>
        <v>5793184.7999999989</v>
      </c>
      <c r="R9" s="16">
        <f t="shared" si="0"/>
        <v>2085546.5279999999</v>
      </c>
      <c r="S9" s="16">
        <f t="shared" si="1"/>
        <v>3707638.2719999989</v>
      </c>
      <c r="T9" s="17">
        <v>0.05</v>
      </c>
      <c r="U9" s="16">
        <f t="shared" si="2"/>
        <v>3522256.3583999989</v>
      </c>
    </row>
    <row r="10" spans="2:25" ht="52.5" customHeight="1" x14ac:dyDescent="0.25">
      <c r="B10" s="11">
        <v>5</v>
      </c>
      <c r="C10" s="53"/>
      <c r="D10" s="2" t="s">
        <v>53</v>
      </c>
      <c r="E10" s="3" t="s">
        <v>54</v>
      </c>
      <c r="F10" s="3" t="s">
        <v>55</v>
      </c>
      <c r="G10" s="21">
        <v>141.34</v>
      </c>
      <c r="H10" s="12">
        <f t="shared" si="8"/>
        <v>1521.3837599999999</v>
      </c>
      <c r="I10" s="13">
        <v>25</v>
      </c>
      <c r="J10" s="2">
        <v>1998</v>
      </c>
      <c r="K10" s="2">
        <v>2022</v>
      </c>
      <c r="L10" s="2">
        <f t="shared" si="3"/>
        <v>24</v>
      </c>
      <c r="M10" s="2">
        <v>40</v>
      </c>
      <c r="N10" s="14">
        <v>0.1</v>
      </c>
      <c r="O10" s="15">
        <f>(1-N10)/M10</f>
        <v>2.2499999999999999E-2</v>
      </c>
      <c r="P10" s="16">
        <v>750</v>
      </c>
      <c r="Q10" s="16">
        <f>P10*H10</f>
        <v>1141037.82</v>
      </c>
      <c r="R10" s="16">
        <f t="shared" si="0"/>
        <v>616160.42280000006</v>
      </c>
      <c r="S10" s="16">
        <f t="shared" si="1"/>
        <v>524877.39720000001</v>
      </c>
      <c r="T10" s="17">
        <v>0.05</v>
      </c>
      <c r="U10" s="16">
        <f t="shared" si="2"/>
        <v>498633.52733999997</v>
      </c>
    </row>
    <row r="11" spans="2:25" ht="43.5" customHeight="1" x14ac:dyDescent="0.25">
      <c r="B11" s="11">
        <v>6</v>
      </c>
      <c r="C11" s="53"/>
      <c r="D11" s="2" t="s">
        <v>53</v>
      </c>
      <c r="E11" s="3" t="s">
        <v>56</v>
      </c>
      <c r="F11" s="3" t="s">
        <v>55</v>
      </c>
      <c r="G11" s="21">
        <v>214.02</v>
      </c>
      <c r="H11" s="12">
        <f t="shared" si="8"/>
        <v>2303.71128</v>
      </c>
      <c r="I11" s="13">
        <v>20</v>
      </c>
      <c r="J11" s="2">
        <v>1998</v>
      </c>
      <c r="K11" s="2">
        <v>2022</v>
      </c>
      <c r="L11" s="2">
        <f t="shared" si="3"/>
        <v>24</v>
      </c>
      <c r="M11" s="2">
        <v>40</v>
      </c>
      <c r="N11" s="14">
        <v>0.1</v>
      </c>
      <c r="O11" s="15">
        <f>(1-N11)/M11</f>
        <v>2.2499999999999999E-2</v>
      </c>
      <c r="P11" s="16">
        <v>750</v>
      </c>
      <c r="Q11" s="16">
        <f>P11*H11</f>
        <v>1727783.46</v>
      </c>
      <c r="R11" s="16">
        <f>Q11*O11*L11</f>
        <v>933003.06839999999</v>
      </c>
      <c r="S11" s="16">
        <f>MAX(Q11-R11,0)</f>
        <v>794780.39159999997</v>
      </c>
      <c r="T11" s="17">
        <v>0.05</v>
      </c>
      <c r="U11" s="16">
        <f t="shared" si="2"/>
        <v>755041.37201999989</v>
      </c>
    </row>
    <row r="12" spans="2:25" ht="51.75" customHeight="1" x14ac:dyDescent="0.25">
      <c r="B12" s="11">
        <v>7</v>
      </c>
      <c r="C12" s="53"/>
      <c r="D12" s="2" t="s">
        <v>53</v>
      </c>
      <c r="E12" s="3" t="s">
        <v>57</v>
      </c>
      <c r="F12" s="3" t="s">
        <v>55</v>
      </c>
      <c r="G12" s="21">
        <v>203.53</v>
      </c>
      <c r="H12" s="12">
        <f t="shared" si="8"/>
        <v>2190.7969199999998</v>
      </c>
      <c r="I12" s="13">
        <v>20</v>
      </c>
      <c r="J12" s="2">
        <v>1998</v>
      </c>
      <c r="K12" s="2">
        <v>2022</v>
      </c>
      <c r="L12" s="2">
        <f t="shared" si="3"/>
        <v>24</v>
      </c>
      <c r="M12" s="2">
        <v>40</v>
      </c>
      <c r="N12" s="14">
        <v>0.1</v>
      </c>
      <c r="O12" s="15">
        <f>(1-N12)/M12</f>
        <v>2.2499999999999999E-2</v>
      </c>
      <c r="P12" s="16">
        <v>750</v>
      </c>
      <c r="Q12" s="16">
        <f>P12*H12</f>
        <v>1643097.69</v>
      </c>
      <c r="R12" s="16">
        <f>Q12*O12*L12</f>
        <v>887272.75260000001</v>
      </c>
      <c r="S12" s="16">
        <f>MAX(Q12-R12,0)</f>
        <v>755824.93739999994</v>
      </c>
      <c r="T12" s="17">
        <v>0.05</v>
      </c>
      <c r="U12" s="16">
        <f t="shared" si="2"/>
        <v>718033.69052999991</v>
      </c>
    </row>
    <row r="13" spans="2:25" ht="43.5" customHeight="1" x14ac:dyDescent="0.25">
      <c r="B13" s="11">
        <v>8</v>
      </c>
      <c r="C13" s="52"/>
      <c r="D13" s="2" t="s">
        <v>53</v>
      </c>
      <c r="E13" s="3" t="s">
        <v>58</v>
      </c>
      <c r="F13" s="3" t="s">
        <v>55</v>
      </c>
      <c r="G13" s="21">
        <v>547.41999999999996</v>
      </c>
      <c r="H13" s="12">
        <f t="shared" si="8"/>
        <v>5892.4288799999995</v>
      </c>
      <c r="I13" s="13">
        <v>30</v>
      </c>
      <c r="J13" s="2">
        <v>1998</v>
      </c>
      <c r="K13" s="2">
        <v>2022</v>
      </c>
      <c r="L13" s="2">
        <f t="shared" si="3"/>
        <v>24</v>
      </c>
      <c r="M13" s="2">
        <v>40</v>
      </c>
      <c r="N13" s="14">
        <v>0.1</v>
      </c>
      <c r="O13" s="15">
        <f>(1-N13)/M13</f>
        <v>2.2499999999999999E-2</v>
      </c>
      <c r="P13" s="16">
        <v>750</v>
      </c>
      <c r="Q13" s="16">
        <f>P13*H13</f>
        <v>4419321.6599999992</v>
      </c>
      <c r="R13" s="16">
        <f>Q13*O13*L13</f>
        <v>2386433.6963999998</v>
      </c>
      <c r="S13" s="16">
        <f>MAX(Q13-R13,0)</f>
        <v>2032887.9635999994</v>
      </c>
      <c r="T13" s="17">
        <v>0.05</v>
      </c>
      <c r="U13" s="16">
        <f>IF(S13&gt;N13*Q13,S13*(1-T13),Q13*N13)</f>
        <v>1931243.5654199994</v>
      </c>
    </row>
    <row r="14" spans="2:25" ht="21" customHeight="1" x14ac:dyDescent="0.25">
      <c r="B14" s="63" t="s">
        <v>59</v>
      </c>
      <c r="C14" s="64"/>
      <c r="D14" s="64"/>
      <c r="E14" s="64"/>
      <c r="F14" s="65"/>
      <c r="G14" s="22">
        <f>SUM(G8:G13)</f>
        <v>6788.79</v>
      </c>
      <c r="H14" s="18">
        <f>G14*10.764</f>
        <v>73074.535559999989</v>
      </c>
      <c r="I14" s="57"/>
      <c r="J14" s="58"/>
      <c r="K14" s="58"/>
      <c r="L14" s="58"/>
      <c r="M14" s="58"/>
      <c r="N14" s="58"/>
      <c r="O14" s="58"/>
      <c r="P14" s="59"/>
      <c r="Q14" s="19">
        <f>SUM(Q8:Q13)</f>
        <v>88447319.765999973</v>
      </c>
      <c r="R14" s="19"/>
      <c r="S14" s="19"/>
      <c r="T14" s="20"/>
      <c r="U14" s="19">
        <f>SUM(U8:U13)</f>
        <v>69057548.178605989</v>
      </c>
    </row>
    <row r="15" spans="2:25" x14ac:dyDescent="0.25">
      <c r="B15" s="71" t="s">
        <v>59</v>
      </c>
      <c r="C15" s="71"/>
      <c r="D15" s="71"/>
      <c r="E15" s="71"/>
      <c r="F15" s="71"/>
      <c r="G15" s="22">
        <f>G14+G7</f>
        <v>26701.27</v>
      </c>
      <c r="H15" s="18">
        <f>G15*10.764</f>
        <v>287412.47028000001</v>
      </c>
      <c r="I15" s="60"/>
      <c r="J15" s="61"/>
      <c r="K15" s="61"/>
      <c r="L15" s="61"/>
      <c r="M15" s="61"/>
      <c r="N15" s="61"/>
      <c r="O15" s="61"/>
      <c r="P15" s="62"/>
      <c r="Q15" s="19">
        <f>Q14+Q7</f>
        <v>367086634.90199995</v>
      </c>
      <c r="R15" s="19"/>
      <c r="S15" s="19">
        <f>SUM(S5:S13)</f>
        <v>261569850.80148</v>
      </c>
      <c r="T15" s="19"/>
      <c r="U15" s="19">
        <f>U14+U7</f>
        <v>248491358.26140594</v>
      </c>
    </row>
    <row r="16" spans="2:25" x14ac:dyDescent="0.25">
      <c r="B16" s="72" t="s">
        <v>60</v>
      </c>
      <c r="C16" s="72"/>
      <c r="D16" s="72"/>
      <c r="E16" s="72"/>
      <c r="F16" s="72"/>
      <c r="G16" s="72"/>
      <c r="H16" s="72"/>
      <c r="I16" s="72"/>
      <c r="J16" s="72"/>
      <c r="K16" s="72"/>
      <c r="L16" s="72"/>
      <c r="M16" s="72"/>
      <c r="N16" s="72"/>
      <c r="O16" s="72"/>
      <c r="P16" s="72"/>
      <c r="Q16" s="72"/>
      <c r="R16" s="72"/>
      <c r="S16" s="72"/>
      <c r="T16" s="72"/>
      <c r="U16" s="72"/>
    </row>
    <row r="17" spans="2:21" x14ac:dyDescent="0.25">
      <c r="B17" s="73" t="s">
        <v>75</v>
      </c>
      <c r="C17" s="73"/>
      <c r="D17" s="73"/>
      <c r="E17" s="73"/>
      <c r="F17" s="73"/>
      <c r="G17" s="73"/>
      <c r="H17" s="73"/>
      <c r="I17" s="73"/>
      <c r="J17" s="73"/>
      <c r="K17" s="73"/>
      <c r="L17" s="73"/>
      <c r="M17" s="73"/>
      <c r="N17" s="73"/>
      <c r="O17" s="73"/>
      <c r="P17" s="73"/>
      <c r="Q17" s="73"/>
      <c r="R17" s="73"/>
      <c r="S17" s="73"/>
      <c r="T17" s="73"/>
      <c r="U17" s="73"/>
    </row>
    <row r="18" spans="2:21" x14ac:dyDescent="0.25">
      <c r="B18" s="73" t="s">
        <v>61</v>
      </c>
      <c r="C18" s="73"/>
      <c r="D18" s="50"/>
      <c r="E18" s="50"/>
      <c r="F18" s="50"/>
      <c r="G18" s="50"/>
      <c r="H18" s="50"/>
      <c r="I18" s="50"/>
      <c r="J18" s="50"/>
      <c r="K18" s="50"/>
      <c r="L18" s="50"/>
      <c r="M18" s="50"/>
      <c r="N18" s="50"/>
      <c r="O18" s="50"/>
      <c r="P18" s="50"/>
      <c r="Q18" s="50"/>
      <c r="R18" s="50"/>
      <c r="S18" s="50"/>
      <c r="T18" s="50"/>
      <c r="U18" s="50"/>
    </row>
    <row r="19" spans="2:21" ht="27" customHeight="1" x14ac:dyDescent="0.25">
      <c r="B19" s="66" t="s">
        <v>76</v>
      </c>
      <c r="C19" s="66"/>
      <c r="D19" s="67"/>
      <c r="E19" s="67"/>
      <c r="F19" s="67"/>
      <c r="G19" s="67"/>
      <c r="H19" s="67"/>
      <c r="I19" s="67"/>
      <c r="J19" s="67"/>
      <c r="K19" s="67"/>
      <c r="L19" s="67"/>
      <c r="M19" s="67"/>
      <c r="N19" s="67"/>
      <c r="O19" s="67"/>
      <c r="P19" s="67"/>
      <c r="Q19" s="67"/>
      <c r="R19" s="67"/>
      <c r="S19" s="67"/>
      <c r="T19" s="67"/>
      <c r="U19" s="67"/>
    </row>
    <row r="20" spans="2:21" x14ac:dyDescent="0.25">
      <c r="B20" s="50" t="s">
        <v>62</v>
      </c>
      <c r="C20" s="50"/>
      <c r="D20" s="50"/>
      <c r="E20" s="50"/>
      <c r="F20" s="50"/>
      <c r="G20" s="50"/>
      <c r="H20" s="50"/>
      <c r="I20" s="50"/>
      <c r="J20" s="50"/>
      <c r="K20" s="50"/>
      <c r="L20" s="50"/>
      <c r="M20" s="50"/>
      <c r="N20" s="50"/>
      <c r="O20" s="50"/>
      <c r="P20" s="50"/>
      <c r="Q20" s="50"/>
      <c r="R20" s="50"/>
      <c r="S20" s="50"/>
      <c r="T20" s="50"/>
      <c r="U20" s="50"/>
    </row>
  </sheetData>
  <mergeCells count="14">
    <mergeCell ref="B3:U3"/>
    <mergeCell ref="B15:F15"/>
    <mergeCell ref="B16:U16"/>
    <mergeCell ref="B17:U17"/>
    <mergeCell ref="B18:U18"/>
    <mergeCell ref="B20:U20"/>
    <mergeCell ref="C5:C6"/>
    <mergeCell ref="C8:C13"/>
    <mergeCell ref="B7:F7"/>
    <mergeCell ref="I7:P7"/>
    <mergeCell ref="I14:P14"/>
    <mergeCell ref="I15:P15"/>
    <mergeCell ref="B14:F14"/>
    <mergeCell ref="B19:U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7"/>
  <sheetViews>
    <sheetView topLeftCell="A9" workbookViewId="0">
      <selection activeCell="D27" sqref="D27"/>
    </sheetView>
  </sheetViews>
  <sheetFormatPr defaultRowHeight="15" x14ac:dyDescent="0.25"/>
  <cols>
    <col min="3" max="3" width="12.85546875" customWidth="1"/>
    <col min="4" max="4" width="17.28515625" customWidth="1"/>
    <col min="5" max="5" width="13.28515625" customWidth="1"/>
    <col min="8" max="8" width="14.85546875" customWidth="1"/>
    <col min="9" max="9" width="9.140625" customWidth="1"/>
    <col min="10" max="10" width="8.5703125" customWidth="1"/>
    <col min="11" max="11" width="9.140625" hidden="1" customWidth="1"/>
    <col min="12" max="12" width="0.140625" customWidth="1"/>
    <col min="13" max="13" width="3" customWidth="1"/>
    <col min="14" max="14" width="13.28515625" customWidth="1"/>
  </cols>
  <sheetData>
    <row r="3" spans="2:14" ht="30" customHeight="1" x14ac:dyDescent="0.25">
      <c r="B3" s="33" t="s">
        <v>86</v>
      </c>
      <c r="C3" s="33"/>
      <c r="D3" s="33"/>
      <c r="E3" s="33"/>
      <c r="F3" s="33"/>
      <c r="G3" s="33"/>
      <c r="H3" s="33"/>
      <c r="I3" s="33"/>
      <c r="J3" s="33"/>
      <c r="K3" s="33"/>
      <c r="L3" s="33"/>
      <c r="M3" s="33"/>
      <c r="N3" s="33"/>
    </row>
    <row r="4" spans="2:14" ht="15" customHeight="1" x14ac:dyDescent="0.25">
      <c r="B4" s="40" t="s">
        <v>4</v>
      </c>
      <c r="C4" s="40" t="s">
        <v>0</v>
      </c>
      <c r="D4" s="40" t="s">
        <v>80</v>
      </c>
      <c r="E4" s="40"/>
      <c r="F4" s="40"/>
      <c r="G4" s="40"/>
      <c r="H4" s="42" t="s">
        <v>81</v>
      </c>
      <c r="I4" s="42"/>
      <c r="J4" s="42"/>
      <c r="K4" s="42"/>
      <c r="L4" s="95" t="s">
        <v>85</v>
      </c>
      <c r="M4" s="96"/>
      <c r="N4" s="97"/>
    </row>
    <row r="5" spans="2:14" ht="60" customHeight="1" x14ac:dyDescent="0.25">
      <c r="B5" s="40"/>
      <c r="C5" s="40"/>
      <c r="D5" s="24" t="s">
        <v>66</v>
      </c>
      <c r="E5" s="24" t="s">
        <v>82</v>
      </c>
      <c r="F5" s="75" t="s">
        <v>84</v>
      </c>
      <c r="G5" s="76"/>
      <c r="H5" s="24" t="s">
        <v>66</v>
      </c>
      <c r="I5" s="83" t="str">
        <f>'Building valuation'!$U$4</f>
        <v>Depreciated Replacement Market Value
(INR)</v>
      </c>
      <c r="J5" s="84"/>
      <c r="K5" s="85"/>
      <c r="L5" s="98"/>
      <c r="M5" s="99"/>
      <c r="N5" s="100"/>
    </row>
    <row r="6" spans="2:14" ht="14.25" customHeight="1" x14ac:dyDescent="0.25">
      <c r="B6" s="32">
        <v>1</v>
      </c>
      <c r="C6" s="5" t="s">
        <v>5</v>
      </c>
      <c r="D6" s="112">
        <f>'Land bifurcation'!N8</f>
        <v>14010</v>
      </c>
      <c r="E6" s="117">
        <v>22000</v>
      </c>
      <c r="F6" s="77">
        <f>E6*D6</f>
        <v>308220000</v>
      </c>
      <c r="G6" s="78"/>
      <c r="H6" s="116">
        <f>'Building valuation'!G7</f>
        <v>19912.48</v>
      </c>
      <c r="I6" s="86">
        <f>'Building valuation'!U7</f>
        <v>179433810.08279997</v>
      </c>
      <c r="J6" s="87"/>
      <c r="K6" s="88"/>
      <c r="L6" s="86">
        <f>I6+F6</f>
        <v>487653810.08279997</v>
      </c>
      <c r="M6" s="101"/>
      <c r="N6" s="102"/>
    </row>
    <row r="7" spans="2:14" x14ac:dyDescent="0.25">
      <c r="B7" s="32"/>
      <c r="C7" s="5" t="s">
        <v>6</v>
      </c>
      <c r="D7" s="112"/>
      <c r="E7" s="117"/>
      <c r="F7" s="79"/>
      <c r="G7" s="80"/>
      <c r="H7" s="32"/>
      <c r="I7" s="89"/>
      <c r="J7" s="90"/>
      <c r="K7" s="91"/>
      <c r="L7" s="103"/>
      <c r="M7" s="104"/>
      <c r="N7" s="105"/>
    </row>
    <row r="8" spans="2:14" x14ac:dyDescent="0.25">
      <c r="B8" s="32"/>
      <c r="C8" s="5" t="s">
        <v>7</v>
      </c>
      <c r="D8" s="112"/>
      <c r="E8" s="117"/>
      <c r="F8" s="79"/>
      <c r="G8" s="80"/>
      <c r="H8" s="32"/>
      <c r="I8" s="89"/>
      <c r="J8" s="90"/>
      <c r="K8" s="91"/>
      <c r="L8" s="103"/>
      <c r="M8" s="104"/>
      <c r="N8" s="105"/>
    </row>
    <row r="9" spans="2:14" x14ac:dyDescent="0.25">
      <c r="B9" s="32"/>
      <c r="C9" s="5" t="s">
        <v>8</v>
      </c>
      <c r="D9" s="112"/>
      <c r="E9" s="117"/>
      <c r="F9" s="81"/>
      <c r="G9" s="82"/>
      <c r="H9" s="32"/>
      <c r="I9" s="92"/>
      <c r="J9" s="93"/>
      <c r="K9" s="94"/>
      <c r="L9" s="103"/>
      <c r="M9" s="104"/>
      <c r="N9" s="105"/>
    </row>
    <row r="10" spans="2:14" ht="15.75" customHeight="1" x14ac:dyDescent="0.25">
      <c r="B10" s="46"/>
      <c r="C10" s="47"/>
      <c r="D10" s="47"/>
      <c r="E10" s="47"/>
      <c r="F10" s="47"/>
      <c r="G10" s="47"/>
      <c r="H10" s="47"/>
      <c r="I10" s="47"/>
      <c r="J10" s="47"/>
      <c r="K10" s="48"/>
      <c r="L10" s="106"/>
      <c r="M10" s="107"/>
      <c r="N10" s="108"/>
    </row>
    <row r="11" spans="2:14" ht="15" customHeight="1" x14ac:dyDescent="0.25">
      <c r="B11" s="32">
        <v>2</v>
      </c>
      <c r="C11" s="5" t="s">
        <v>9</v>
      </c>
      <c r="D11" s="112">
        <f>'Land bifurcation'!N15</f>
        <v>18000</v>
      </c>
      <c r="E11" s="113">
        <v>22000</v>
      </c>
      <c r="F11" s="77">
        <f>D11*E11</f>
        <v>396000000</v>
      </c>
      <c r="G11" s="78"/>
      <c r="H11" s="116">
        <f>'Building valuation'!G14</f>
        <v>6788.79</v>
      </c>
      <c r="I11" s="86">
        <f>'Building valuation'!U14</f>
        <v>69057548.178605989</v>
      </c>
      <c r="J11" s="88"/>
      <c r="K11" s="32">
        <v>180</v>
      </c>
      <c r="L11" s="27">
        <v>22000</v>
      </c>
      <c r="M11" s="87">
        <f>I11+F11</f>
        <v>465057548.17860597</v>
      </c>
      <c r="N11" s="102"/>
    </row>
    <row r="12" spans="2:14" x14ac:dyDescent="0.25">
      <c r="B12" s="32"/>
      <c r="C12" s="5" t="s">
        <v>10</v>
      </c>
      <c r="D12" s="112"/>
      <c r="E12" s="114"/>
      <c r="F12" s="79"/>
      <c r="G12" s="80"/>
      <c r="H12" s="32"/>
      <c r="I12" s="89"/>
      <c r="J12" s="91"/>
      <c r="K12" s="32"/>
      <c r="L12" s="28"/>
      <c r="M12" s="104"/>
      <c r="N12" s="105"/>
    </row>
    <row r="13" spans="2:14" x14ac:dyDescent="0.25">
      <c r="B13" s="32"/>
      <c r="C13" s="5" t="s">
        <v>11</v>
      </c>
      <c r="D13" s="112"/>
      <c r="E13" s="114"/>
      <c r="F13" s="79"/>
      <c r="G13" s="80"/>
      <c r="H13" s="32"/>
      <c r="I13" s="89"/>
      <c r="J13" s="91"/>
      <c r="K13" s="32"/>
      <c r="L13" s="28"/>
      <c r="M13" s="104"/>
      <c r="N13" s="105"/>
    </row>
    <row r="14" spans="2:14" x14ac:dyDescent="0.25">
      <c r="B14" s="32"/>
      <c r="C14" s="5" t="s">
        <v>12</v>
      </c>
      <c r="D14" s="112"/>
      <c r="E14" s="114"/>
      <c r="F14" s="79"/>
      <c r="G14" s="80"/>
      <c r="H14" s="32"/>
      <c r="I14" s="89"/>
      <c r="J14" s="91"/>
      <c r="K14" s="32"/>
      <c r="L14" s="28"/>
      <c r="M14" s="104"/>
      <c r="N14" s="105"/>
    </row>
    <row r="15" spans="2:14" x14ac:dyDescent="0.25">
      <c r="B15" s="32"/>
      <c r="C15" s="5" t="s">
        <v>13</v>
      </c>
      <c r="D15" s="112"/>
      <c r="E15" s="114"/>
      <c r="F15" s="79"/>
      <c r="G15" s="80"/>
      <c r="H15" s="32"/>
      <c r="I15" s="89"/>
      <c r="J15" s="91"/>
      <c r="K15" s="32"/>
      <c r="L15" s="28"/>
      <c r="M15" s="104"/>
      <c r="N15" s="105"/>
    </row>
    <row r="16" spans="2:14" x14ac:dyDescent="0.25">
      <c r="B16" s="32"/>
      <c r="C16" s="5" t="s">
        <v>14</v>
      </c>
      <c r="D16" s="112"/>
      <c r="E16" s="115"/>
      <c r="F16" s="81"/>
      <c r="G16" s="82"/>
      <c r="H16" s="32"/>
      <c r="I16" s="92"/>
      <c r="J16" s="94"/>
      <c r="K16" s="32"/>
      <c r="L16" s="28"/>
      <c r="M16" s="104"/>
      <c r="N16" s="105"/>
    </row>
    <row r="17" spans="2:14" ht="15.75" customHeight="1" x14ac:dyDescent="0.25">
      <c r="B17" s="75" t="s">
        <v>25</v>
      </c>
      <c r="C17" s="111"/>
      <c r="D17" s="111"/>
      <c r="E17" s="111"/>
      <c r="F17" s="111"/>
      <c r="G17" s="111"/>
      <c r="H17" s="111"/>
      <c r="I17" s="111"/>
      <c r="J17" s="111"/>
      <c r="K17" s="76"/>
      <c r="L17" s="29"/>
      <c r="M17" s="74">
        <f>M11+L6</f>
        <v>952711358.26140594</v>
      </c>
      <c r="N17" s="71"/>
    </row>
    <row r="18" spans="2:14" ht="15.75" hidden="1" x14ac:dyDescent="0.25">
      <c r="B18" s="46"/>
      <c r="C18" s="47"/>
      <c r="D18" s="47"/>
      <c r="E18" s="47"/>
      <c r="F18" s="47"/>
      <c r="G18" s="47"/>
      <c r="H18" s="47"/>
      <c r="I18" s="47"/>
      <c r="J18" s="47"/>
      <c r="K18" s="48"/>
      <c r="L18" s="25"/>
      <c r="M18" s="109"/>
      <c r="N18" s="110"/>
    </row>
    <row r="21" spans="2:14" x14ac:dyDescent="0.25">
      <c r="C21" s="4" t="s">
        <v>87</v>
      </c>
      <c r="D21" s="31">
        <f>F6+F11</f>
        <v>704220000</v>
      </c>
    </row>
    <row r="22" spans="2:14" x14ac:dyDescent="0.25">
      <c r="C22" s="4" t="s">
        <v>79</v>
      </c>
      <c r="D22" s="31">
        <f>I6+I11</f>
        <v>248491358.26140594</v>
      </c>
    </row>
    <row r="23" spans="2:14" ht="30" x14ac:dyDescent="0.25">
      <c r="C23" s="30" t="s">
        <v>88</v>
      </c>
      <c r="D23" s="31">
        <v>1400000</v>
      </c>
    </row>
    <row r="24" spans="2:14" x14ac:dyDescent="0.25">
      <c r="C24" s="4" t="s">
        <v>83</v>
      </c>
      <c r="D24" s="31">
        <f>SUM(D21:D23)</f>
        <v>954111358.26140594</v>
      </c>
    </row>
    <row r="25" spans="2:14" ht="29.25" customHeight="1" x14ac:dyDescent="0.25">
      <c r="C25" s="30" t="s">
        <v>89</v>
      </c>
      <c r="D25" s="31">
        <v>954000000</v>
      </c>
    </row>
    <row r="26" spans="2:14" x14ac:dyDescent="0.25">
      <c r="C26" s="4" t="s">
        <v>90</v>
      </c>
      <c r="D26" s="31">
        <f>D25*0.85</f>
        <v>810900000</v>
      </c>
    </row>
    <row r="27" spans="2:14" x14ac:dyDescent="0.25">
      <c r="C27" s="30" t="s">
        <v>91</v>
      </c>
      <c r="D27" s="31">
        <f>D25*0.75</f>
        <v>715500000</v>
      </c>
    </row>
  </sheetData>
  <mergeCells count="28">
    <mergeCell ref="B3:N3"/>
    <mergeCell ref="B4:B5"/>
    <mergeCell ref="C4:C5"/>
    <mergeCell ref="D4:G4"/>
    <mergeCell ref="H4:K4"/>
    <mergeCell ref="E11:E16"/>
    <mergeCell ref="H11:H16"/>
    <mergeCell ref="B10:K10"/>
    <mergeCell ref="B6:B9"/>
    <mergeCell ref="D6:D9"/>
    <mergeCell ref="E6:E9"/>
    <mergeCell ref="H6:H9"/>
    <mergeCell ref="B18:K18"/>
    <mergeCell ref="M17:N17"/>
    <mergeCell ref="F5:G5"/>
    <mergeCell ref="F6:G9"/>
    <mergeCell ref="I5:K5"/>
    <mergeCell ref="I6:K9"/>
    <mergeCell ref="L4:N5"/>
    <mergeCell ref="L6:N10"/>
    <mergeCell ref="M18:N18"/>
    <mergeCell ref="F11:G16"/>
    <mergeCell ref="K11:K16"/>
    <mergeCell ref="B17:K17"/>
    <mergeCell ref="I11:J16"/>
    <mergeCell ref="M11:N16"/>
    <mergeCell ref="B11:B16"/>
    <mergeCell ref="D11:D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4"/>
  <sheetViews>
    <sheetView tabSelected="1" workbookViewId="0">
      <selection activeCell="X6" sqref="X6"/>
    </sheetView>
  </sheetViews>
  <sheetFormatPr defaultRowHeight="15" x14ac:dyDescent="0.25"/>
  <cols>
    <col min="2" max="2" width="6.85546875" customWidth="1"/>
    <col min="4" max="4" width="18.42578125" customWidth="1"/>
    <col min="5" max="5" width="17.5703125" customWidth="1"/>
    <col min="6" max="6" width="14.7109375" customWidth="1"/>
    <col min="7" max="7" width="16.140625" customWidth="1"/>
    <col min="8" max="8" width="15.28515625" customWidth="1"/>
    <col min="9" max="22" width="9.140625" hidden="1" customWidth="1"/>
  </cols>
  <sheetData>
    <row r="4" spans="3:22" ht="36" customHeight="1" x14ac:dyDescent="0.25">
      <c r="C4" s="68" t="s">
        <v>72</v>
      </c>
      <c r="D4" s="69"/>
      <c r="E4" s="69"/>
      <c r="F4" s="69"/>
      <c r="G4" s="69"/>
      <c r="H4" s="69"/>
    </row>
    <row r="5" spans="3:22" ht="69.75" customHeight="1" x14ac:dyDescent="0.25">
      <c r="C5" s="8" t="s">
        <v>29</v>
      </c>
      <c r="D5" s="8" t="s">
        <v>63</v>
      </c>
      <c r="E5" s="9" t="s">
        <v>70</v>
      </c>
      <c r="F5" s="9" t="s">
        <v>69</v>
      </c>
      <c r="G5" s="9" t="s">
        <v>71</v>
      </c>
      <c r="H5" s="9" t="s">
        <v>68</v>
      </c>
    </row>
    <row r="6" spans="3:22" ht="48.75" customHeight="1" x14ac:dyDescent="0.25">
      <c r="C6" s="32">
        <v>1</v>
      </c>
      <c r="D6" s="124" t="s">
        <v>64</v>
      </c>
      <c r="E6" s="118">
        <f>'Land bifurcation'!N8*0.55</f>
        <v>7705.5000000000009</v>
      </c>
      <c r="F6" s="125" t="s">
        <v>92</v>
      </c>
      <c r="G6" s="123">
        <f>'Land bifurcation'!N8*1</f>
        <v>14010</v>
      </c>
      <c r="H6" s="116">
        <f>'Building valuation'!G7</f>
        <v>19912.48</v>
      </c>
    </row>
    <row r="7" spans="3:22" ht="15" hidden="1" customHeight="1" x14ac:dyDescent="0.25">
      <c r="C7" s="32"/>
      <c r="D7" s="124"/>
      <c r="E7" s="119"/>
      <c r="F7" s="125"/>
      <c r="G7" s="32"/>
      <c r="H7" s="32"/>
    </row>
    <row r="8" spans="3:22" ht="15" customHeight="1" x14ac:dyDescent="0.25">
      <c r="C8" s="32">
        <v>2</v>
      </c>
      <c r="D8" s="51" t="str">
        <f>'Building valuation'!$C$8</f>
        <v>Part no. 2 (plot no. C-4,C-5, C-6, C-9, C-10, C-11)</v>
      </c>
      <c r="E8" s="121">
        <f>'Land bifurcation'!N15*0.55</f>
        <v>9900</v>
      </c>
      <c r="F8" s="125" t="s">
        <v>92</v>
      </c>
      <c r="G8" s="123">
        <f>'Land bifurcation'!N15</f>
        <v>18000</v>
      </c>
      <c r="H8" s="116">
        <f>'Building valuation'!G14</f>
        <v>6788.79</v>
      </c>
    </row>
    <row r="9" spans="3:22" ht="33" customHeight="1" x14ac:dyDescent="0.25">
      <c r="C9" s="32"/>
      <c r="D9" s="52"/>
      <c r="E9" s="122"/>
      <c r="F9" s="125"/>
      <c r="G9" s="32"/>
      <c r="H9" s="32"/>
    </row>
    <row r="10" spans="3:22" x14ac:dyDescent="0.25">
      <c r="C10" s="120" t="s">
        <v>73</v>
      </c>
      <c r="D10" s="120"/>
      <c r="E10" s="120"/>
      <c r="F10" s="120"/>
      <c r="G10" s="120"/>
      <c r="H10" s="120"/>
    </row>
    <row r="11" spans="3:22" ht="30.75" customHeight="1" x14ac:dyDescent="0.25">
      <c r="C11" s="73" t="s">
        <v>77</v>
      </c>
      <c r="D11" s="73"/>
      <c r="E11" s="73"/>
      <c r="F11" s="73"/>
      <c r="G11" s="73"/>
      <c r="H11" s="73"/>
      <c r="I11" s="73"/>
      <c r="J11" s="73"/>
      <c r="K11" s="73"/>
      <c r="L11" s="73"/>
      <c r="M11" s="73"/>
      <c r="N11" s="73"/>
      <c r="O11" s="73"/>
      <c r="P11" s="73"/>
      <c r="Q11" s="73"/>
      <c r="R11" s="73"/>
      <c r="S11" s="73"/>
      <c r="T11" s="73"/>
      <c r="U11" s="73"/>
      <c r="V11" s="73"/>
    </row>
    <row r="12" spans="3:22" ht="17.25" customHeight="1" x14ac:dyDescent="0.25">
      <c r="C12" s="73" t="s">
        <v>61</v>
      </c>
      <c r="D12" s="73"/>
      <c r="E12" s="50"/>
      <c r="F12" s="50"/>
      <c r="G12" s="50"/>
      <c r="H12" s="50"/>
      <c r="I12" s="50"/>
      <c r="J12" s="50"/>
      <c r="K12" s="50"/>
      <c r="L12" s="50"/>
      <c r="M12" s="50"/>
      <c r="N12" s="50"/>
      <c r="O12" s="50"/>
      <c r="P12" s="50"/>
      <c r="Q12" s="50"/>
      <c r="R12" s="50"/>
      <c r="S12" s="50"/>
      <c r="T12" s="50"/>
      <c r="U12" s="50"/>
      <c r="V12" s="50"/>
    </row>
    <row r="13" spans="3:22" ht="39" customHeight="1" x14ac:dyDescent="0.25">
      <c r="C13" s="66" t="s">
        <v>76</v>
      </c>
      <c r="D13" s="66"/>
      <c r="E13" s="67"/>
      <c r="F13" s="67"/>
      <c r="G13" s="67"/>
      <c r="H13" s="67"/>
      <c r="I13" s="67"/>
      <c r="J13" s="67"/>
      <c r="K13" s="67"/>
      <c r="L13" s="67"/>
      <c r="M13" s="67"/>
      <c r="N13" s="67"/>
      <c r="O13" s="67"/>
      <c r="P13" s="67"/>
      <c r="Q13" s="67"/>
      <c r="R13" s="67"/>
      <c r="S13" s="67"/>
      <c r="T13" s="67"/>
      <c r="U13" s="67"/>
      <c r="V13" s="67"/>
    </row>
    <row r="14" spans="3:22" ht="21.75" customHeight="1" x14ac:dyDescent="0.25">
      <c r="C14" s="66" t="s">
        <v>78</v>
      </c>
      <c r="D14" s="66"/>
      <c r="E14" s="66"/>
      <c r="F14" s="66"/>
      <c r="G14" s="66"/>
      <c r="H14" s="66"/>
      <c r="I14" s="4"/>
      <c r="J14" s="4"/>
      <c r="K14" s="4"/>
      <c r="L14" s="4"/>
      <c r="M14" s="4"/>
      <c r="N14" s="4"/>
      <c r="O14" s="4"/>
      <c r="P14" s="4"/>
      <c r="Q14" s="4"/>
      <c r="R14" s="4"/>
      <c r="S14" s="4"/>
      <c r="T14" s="4"/>
      <c r="U14" s="4"/>
      <c r="V14" s="4"/>
    </row>
  </sheetData>
  <mergeCells count="18">
    <mergeCell ref="C4:H4"/>
    <mergeCell ref="C10:H10"/>
    <mergeCell ref="C8:C9"/>
    <mergeCell ref="D8:D9"/>
    <mergeCell ref="E8:E9"/>
    <mergeCell ref="F8:F9"/>
    <mergeCell ref="G8:G9"/>
    <mergeCell ref="H8:H9"/>
    <mergeCell ref="D6:D7"/>
    <mergeCell ref="C6:C7"/>
    <mergeCell ref="F6:F7"/>
    <mergeCell ref="G6:G7"/>
    <mergeCell ref="H6:H7"/>
    <mergeCell ref="C14:H14"/>
    <mergeCell ref="E6:E7"/>
    <mergeCell ref="C11:V11"/>
    <mergeCell ref="C12:V12"/>
    <mergeCell ref="C13:V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 bifurcation</vt:lpstr>
      <vt:lpstr>Building valuation</vt:lpstr>
      <vt:lpstr>Land &amp; Building Valuation</vt:lpstr>
      <vt:lpstr>By laws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Babul</cp:lastModifiedBy>
  <dcterms:created xsi:type="dcterms:W3CDTF">2022-11-21T04:42:43Z</dcterms:created>
  <dcterms:modified xsi:type="dcterms:W3CDTF">2022-11-22T09:47:58Z</dcterms:modified>
</cp:coreProperties>
</file>