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bhishek Sharma\Hyatt Regency\Hyatt Hotel Docs\Report\"/>
    </mc:Choice>
  </mc:AlternateContent>
  <bookViews>
    <workbookView xWindow="0" yWindow="0" windowWidth="24000" windowHeight="9735" firstSheet="3" activeTab="3"/>
  </bookViews>
  <sheets>
    <sheet name="P&amp;M " sheetId="1" r:id="rId1"/>
    <sheet name="Approvals and NOC" sheetId="4" r:id="rId2"/>
    <sheet name="Trademark License Agreements" sheetId="5" r:id="rId3"/>
    <sheet name="Building Sheet" sheetId="2" r:id="rId4"/>
    <sheet name="Sheet2" sheetId="7" r:id="rId5"/>
    <sheet name="Sale deed" sheetId="3" r:id="rId6"/>
    <sheet name="Sheet1" sheetId="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H22" i="7" l="1"/>
  <c r="O13" i="7"/>
  <c r="K13" i="7"/>
  <c r="L13" i="7" s="1"/>
  <c r="M13" i="7" s="1"/>
  <c r="H10" i="7"/>
  <c r="K10" i="7"/>
  <c r="O10" i="7"/>
  <c r="G22" i="7"/>
  <c r="H13" i="7"/>
  <c r="H35" i="7"/>
  <c r="H36" i="7" s="1"/>
  <c r="H37" i="7" s="1"/>
  <c r="M33" i="7"/>
  <c r="M32" i="7"/>
  <c r="K32" i="7"/>
  <c r="Q31" i="7"/>
  <c r="Q32" i="7" s="1"/>
  <c r="Q33" i="7" s="1"/>
  <c r="H28" i="7"/>
  <c r="H27" i="7"/>
  <c r="K26" i="7"/>
  <c r="H26" i="7" s="1"/>
  <c r="O21" i="7"/>
  <c r="K21" i="7"/>
  <c r="L21" i="7" s="1"/>
  <c r="O20" i="7"/>
  <c r="K20" i="7"/>
  <c r="L20" i="7" s="1"/>
  <c r="M20" i="7" s="1"/>
  <c r="O19" i="7"/>
  <c r="H19" i="7"/>
  <c r="K19" i="7" s="1"/>
  <c r="L19" i="7" s="1"/>
  <c r="M19" i="7" s="1"/>
  <c r="O18" i="7"/>
  <c r="H18" i="7"/>
  <c r="K18" i="7" s="1"/>
  <c r="L18" i="7" s="1"/>
  <c r="M18" i="7" s="1"/>
  <c r="O17" i="7"/>
  <c r="H17" i="7"/>
  <c r="K17" i="7" s="1"/>
  <c r="O16" i="7"/>
  <c r="H16" i="7"/>
  <c r="K16" i="7" s="1"/>
  <c r="L16" i="7" s="1"/>
  <c r="M16" i="7" s="1"/>
  <c r="O15" i="7"/>
  <c r="H15" i="7"/>
  <c r="K15" i="7" s="1"/>
  <c r="O14" i="7"/>
  <c r="H14" i="7"/>
  <c r="K14" i="7" s="1"/>
  <c r="L14" i="7" s="1"/>
  <c r="M14" i="7" s="1"/>
  <c r="O12" i="7"/>
  <c r="H12" i="7"/>
  <c r="K12" i="7" s="1"/>
  <c r="O11" i="7"/>
  <c r="H11" i="7"/>
  <c r="K11" i="7" s="1"/>
  <c r="L11" i="7" s="1"/>
  <c r="M11" i="7" s="1"/>
  <c r="O9" i="7"/>
  <c r="H9" i="7"/>
  <c r="K9" i="7" s="1"/>
  <c r="D9" i="7"/>
  <c r="D10" i="7" s="1"/>
  <c r="D11" i="7" s="1"/>
  <c r="D12" i="7" s="1"/>
  <c r="D14" i="7" s="1"/>
  <c r="D15" i="7" s="1"/>
  <c r="D16" i="7" s="1"/>
  <c r="D17" i="7" s="1"/>
  <c r="D18" i="7" s="1"/>
  <c r="D19" i="7" s="1"/>
  <c r="D20" i="7" s="1"/>
  <c r="D21" i="7" s="1"/>
  <c r="O8" i="7"/>
  <c r="H8" i="7"/>
  <c r="K8" i="7" s="1"/>
  <c r="P3" i="7"/>
  <c r="M23" i="7" s="1"/>
  <c r="L10" i="7" l="1"/>
  <c r="M10" i="7" s="1"/>
  <c r="K22" i="7"/>
  <c r="L8" i="7"/>
  <c r="M8" i="7" s="1"/>
  <c r="M26" i="7"/>
  <c r="O22" i="7"/>
  <c r="L9" i="7"/>
  <c r="L15" i="7"/>
  <c r="M15" i="7" s="1"/>
  <c r="L12" i="7"/>
  <c r="M12" i="7" s="1"/>
  <c r="L17" i="7"/>
  <c r="M17" i="7" s="1"/>
  <c r="K29" i="7"/>
  <c r="K5" i="7"/>
  <c r="K4" i="7" s="1"/>
  <c r="M21" i="7"/>
  <c r="F44" i="1"/>
  <c r="F42" i="1"/>
  <c r="F41" i="1"/>
  <c r="F40" i="1"/>
  <c r="E43" i="1"/>
  <c r="E42" i="1"/>
  <c r="E44" i="1" s="1"/>
  <c r="H37" i="2"/>
  <c r="H38" i="2" s="1"/>
  <c r="H36" i="2"/>
  <c r="K30" i="2"/>
  <c r="K33" i="2"/>
  <c r="M34" i="2"/>
  <c r="M33" i="2"/>
  <c r="L22" i="7" l="1"/>
  <c r="M9" i="7"/>
  <c r="M5" i="7" s="1"/>
  <c r="P3" i="2"/>
  <c r="P4" i="7" l="1"/>
  <c r="P6" i="7" s="1"/>
  <c r="P7" i="7" s="1"/>
  <c r="M4" i="7"/>
  <c r="M22" i="7"/>
  <c r="M27" i="7" s="1"/>
  <c r="M30" i="7" s="1"/>
  <c r="N30" i="7" s="1"/>
  <c r="M27" i="2"/>
  <c r="M24" i="2"/>
  <c r="H29" i="2"/>
  <c r="H28" i="2"/>
  <c r="K27" i="2"/>
  <c r="H27" i="2" s="1"/>
  <c r="Q32" i="2"/>
  <c r="Q33" i="2" s="1"/>
  <c r="Q34" i="2" s="1"/>
  <c r="J21" i="3" l="1"/>
  <c r="G9" i="3"/>
  <c r="F9" i="4" l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O22" i="2" l="1"/>
  <c r="K22" i="2"/>
  <c r="L22" i="2" s="1"/>
  <c r="O20" i="2"/>
  <c r="K20" i="2"/>
  <c r="M22" i="2" l="1"/>
  <c r="O9" i="2"/>
  <c r="O10" i="2"/>
  <c r="O11" i="2"/>
  <c r="O12" i="2"/>
  <c r="O13" i="2"/>
  <c r="O14" i="2"/>
  <c r="O15" i="2"/>
  <c r="O16" i="2"/>
  <c r="O17" i="2"/>
  <c r="O18" i="2"/>
  <c r="O19" i="2"/>
  <c r="O21" i="2"/>
  <c r="O8" i="2"/>
  <c r="O23" i="2" l="1"/>
  <c r="H9" i="3"/>
  <c r="H10" i="3" s="1"/>
  <c r="H11" i="3" s="1"/>
  <c r="H8" i="2"/>
  <c r="K8" i="2" s="1"/>
  <c r="D9" i="2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L8" i="2" l="1"/>
  <c r="H10" i="2"/>
  <c r="K10" i="2" s="1"/>
  <c r="H11" i="2"/>
  <c r="K11" i="2" s="1"/>
  <c r="L11" i="2" s="1"/>
  <c r="H12" i="2"/>
  <c r="K12" i="2" s="1"/>
  <c r="L12" i="2" s="1"/>
  <c r="H13" i="2"/>
  <c r="K13" i="2" s="1"/>
  <c r="L13" i="2" s="1"/>
  <c r="H14" i="2"/>
  <c r="K14" i="2" s="1"/>
  <c r="L14" i="2" s="1"/>
  <c r="H15" i="2"/>
  <c r="K15" i="2" s="1"/>
  <c r="L15" i="2" s="1"/>
  <c r="H16" i="2"/>
  <c r="K16" i="2" s="1"/>
  <c r="L16" i="2" s="1"/>
  <c r="H17" i="2"/>
  <c r="K17" i="2" s="1"/>
  <c r="L17" i="2" s="1"/>
  <c r="H18" i="2"/>
  <c r="K18" i="2" s="1"/>
  <c r="L18" i="2" s="1"/>
  <c r="H19" i="2"/>
  <c r="K19" i="2" s="1"/>
  <c r="L19" i="2" s="1"/>
  <c r="L20" i="2"/>
  <c r="H21" i="2"/>
  <c r="H9" i="2"/>
  <c r="K9" i="2" s="1"/>
  <c r="L9" i="2" s="1"/>
  <c r="L10" i="2" l="1"/>
  <c r="M8" i="2"/>
  <c r="K21" i="2"/>
  <c r="L21" i="2" s="1"/>
  <c r="H23" i="2"/>
  <c r="M19" i="2"/>
  <c r="M15" i="2"/>
  <c r="M11" i="2"/>
  <c r="M10" i="2"/>
  <c r="M17" i="2"/>
  <c r="M13" i="2"/>
  <c r="M20" i="2"/>
  <c r="M16" i="2"/>
  <c r="M12" i="2"/>
  <c r="M18" i="2"/>
  <c r="M14" i="2"/>
  <c r="K5" i="2" l="1"/>
  <c r="K4" i="2" s="1"/>
  <c r="L23" i="2"/>
  <c r="M21" i="2"/>
  <c r="M5" i="2" s="1"/>
  <c r="K23" i="2"/>
  <c r="M9" i="2"/>
  <c r="P4" i="2" l="1"/>
  <c r="P6" i="2" s="1"/>
  <c r="P7" i="2" s="1"/>
  <c r="M4" i="2"/>
  <c r="M23" i="2"/>
  <c r="M28" i="2" s="1"/>
  <c r="M31" i="2" s="1"/>
  <c r="N31" i="2" s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13" i="1"/>
  <c r="E37" i="1" l="1"/>
</calcChain>
</file>

<file path=xl/sharedStrings.xml><?xml version="1.0" encoding="utf-8"?>
<sst xmlns="http://schemas.openxmlformats.org/spreadsheetml/2006/main" count="167" uniqueCount="100">
  <si>
    <t>Bottling plant</t>
  </si>
  <si>
    <t>DG Set</t>
  </si>
  <si>
    <t>Elevator Controller</t>
  </si>
  <si>
    <t>Elevators</t>
  </si>
  <si>
    <t>Fire Suppression System</t>
  </si>
  <si>
    <t>Heat Pump &amp; WTP</t>
  </si>
  <si>
    <t>Lab Testing Equipments</t>
  </si>
  <si>
    <t>Laundry System</t>
  </si>
  <si>
    <t>LT Panel</t>
  </si>
  <si>
    <t>Passport Scanner</t>
  </si>
  <si>
    <t>Plumbing &amp; Fire fighting pump</t>
  </si>
  <si>
    <t>Room Automation System</t>
  </si>
  <si>
    <t>Spa &amp; Sauna System</t>
  </si>
  <si>
    <t>STP</t>
  </si>
  <si>
    <t>Television Sets</t>
  </si>
  <si>
    <t>Transformer</t>
  </si>
  <si>
    <t>VRV System</t>
  </si>
  <si>
    <t>Baggage Scanner</t>
  </si>
  <si>
    <t>CCTV System</t>
  </si>
  <si>
    <t>Cleaning Equipments</t>
  </si>
  <si>
    <t>Kitchen Equipments</t>
  </si>
  <si>
    <t>Kitchen Scrubber</t>
  </si>
  <si>
    <t>LPG System</t>
  </si>
  <si>
    <t>Audio Video System</t>
  </si>
  <si>
    <t>IPBX System</t>
  </si>
  <si>
    <t>Date of Capitalisation</t>
  </si>
  <si>
    <t>Description</t>
  </si>
  <si>
    <t>Amount as on 15-03-22</t>
  </si>
  <si>
    <t>PLANT &amp; MACHINERY DETAILS-DEHRADUN</t>
  </si>
  <si>
    <t>S. No.</t>
  </si>
  <si>
    <t>Block</t>
  </si>
  <si>
    <t>Floor</t>
  </si>
  <si>
    <t>Built-up Area</t>
  </si>
  <si>
    <t>Construction Cost</t>
  </si>
  <si>
    <t>(In Rs. /Sqft)</t>
  </si>
  <si>
    <t>Gross Current Replacement Cost</t>
  </si>
  <si>
    <t>(In Rs.)</t>
  </si>
  <si>
    <t>Depreciation</t>
  </si>
  <si>
    <t>Fair Value</t>
  </si>
  <si>
    <t>Hotel</t>
  </si>
  <si>
    <t>Ground Floor</t>
  </si>
  <si>
    <t>2nd</t>
  </si>
  <si>
    <t>3rd</t>
  </si>
  <si>
    <t>4th</t>
  </si>
  <si>
    <t>5th</t>
  </si>
  <si>
    <t>6th</t>
  </si>
  <si>
    <t>Block-B</t>
  </si>
  <si>
    <t>Basement Floor-1</t>
  </si>
  <si>
    <t>First Floor &amp; mezzanine Floor</t>
  </si>
  <si>
    <t>Service Slab</t>
  </si>
  <si>
    <t xml:space="preserve">7th </t>
  </si>
  <si>
    <t>Roof Slab and mumty Slab</t>
  </si>
  <si>
    <t xml:space="preserve">Extension Building </t>
  </si>
  <si>
    <t>Year of Construction</t>
  </si>
  <si>
    <t>S.No.</t>
  </si>
  <si>
    <t xml:space="preserve">Sale deed </t>
  </si>
  <si>
    <t xml:space="preserve">Sale deed No. </t>
  </si>
  <si>
    <t>Sale Consideration</t>
  </si>
  <si>
    <t>Dated</t>
  </si>
  <si>
    <t>Land Description</t>
  </si>
  <si>
    <t>Area (In Hectares)</t>
  </si>
  <si>
    <t>Khasra No. 92Ga, Situated at Village-Danio ka Danda, Pargana-Pachwadoon, Distt.-Dehradun</t>
  </si>
  <si>
    <t>Khasra No. 92 Kha Me, Situated at Village-Danio ka Danda, Pargana-Pachwadoon, Distt.-Dehradun</t>
  </si>
  <si>
    <t>Khasra No. 93 Ka &amp; 94 Ka, Situated at Village-Danio ka Danda, Pargana-Pachwadoon, Distt.-Dehradun</t>
  </si>
  <si>
    <t>Basement Floor-2</t>
  </si>
  <si>
    <t>(In sq.mtr.)</t>
  </si>
  <si>
    <t>(In sq.ft.)</t>
  </si>
  <si>
    <t xml:space="preserve">Guideline Value </t>
  </si>
  <si>
    <t>(In Rs./sq.mtr.)</t>
  </si>
  <si>
    <t>Guideline Rate</t>
  </si>
  <si>
    <t xml:space="preserve">Gross Area </t>
  </si>
  <si>
    <t>UGT area (in Ltr)</t>
  </si>
  <si>
    <t>Overhead water Tank (in Ltr)</t>
  </si>
  <si>
    <t xml:space="preserve">S.No </t>
  </si>
  <si>
    <t>Approval Name</t>
  </si>
  <si>
    <t>Date</t>
  </si>
  <si>
    <t>Certificate of registration from Uttarakhand Tourism Development Board</t>
  </si>
  <si>
    <t>Environmental clearance from SEIAA, Dehradun
EC No.247-8(41)/2021</t>
  </si>
  <si>
    <t>Department of Legal Metrology</t>
  </si>
  <si>
    <t xml:space="preserve">Provisional Fire NOC </t>
  </si>
  <si>
    <t xml:space="preserve">Final Fire NOC
</t>
  </si>
  <si>
    <t xml:space="preserve">Public Performance License </t>
  </si>
  <si>
    <t>License for retail vend of foreign Liquior 
Register No. 220/2021-22</t>
  </si>
  <si>
    <t>FSSAI Certificate
License Number: 12621999000018</t>
  </si>
  <si>
    <t>Last paid Gas Bill</t>
  </si>
  <si>
    <t>Provisional Consent Order (CCA) 
Ref No-7885/UEPPCB/Dehradun RO/Dehradun/CTO/1627318</t>
  </si>
  <si>
    <t xml:space="preserve">Agreement Name </t>
  </si>
  <si>
    <t xml:space="preserve">First Party </t>
  </si>
  <si>
    <t xml:space="preserve">Second Party </t>
  </si>
  <si>
    <t>SIR BIO TECH INDIA LTD</t>
  </si>
  <si>
    <t>HYATT INDIA CONSULTANCY PRIVATE LIMITED</t>
  </si>
  <si>
    <t>STRATEGIC OVERSIGHT AGREEMENT</t>
  </si>
  <si>
    <t>TECHNICAL SERVICE S AGREEMENT</t>
  </si>
  <si>
    <t>HYATT INTERNATIONAL TECHNICAL SERVICES, INC.</t>
  </si>
  <si>
    <t>TRADEMARKS LICENSE AGREEMENT</t>
  </si>
  <si>
    <t>Hyatt International Corporation</t>
  </si>
  <si>
    <t>HOTEL OPERATIONS SERVICE AGREEMENT</t>
  </si>
  <si>
    <t xml:space="preserve">First Floor </t>
  </si>
  <si>
    <t xml:space="preserve">Stair, Lift and Shaft Cov. Area </t>
  </si>
  <si>
    <t>Double Height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</si>
</sst>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43" fontId="0" fillId="0" borderId="0" xfId="1" applyFont="1"/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14" fontId="0" fillId="0" borderId="0" xfId="0" applyNumberFormat="1"/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43" fontId="0" fillId="0" borderId="0" xfId="0" applyNumberFormat="1"/>
    <xf numFmtId="0" fontId="4" fillId="0" borderId="8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5" fontId="0" fillId="0" borderId="1" xfId="0" applyNumberFormat="1" applyBorder="1"/>
    <xf numFmtId="0" fontId="6" fillId="2" borderId="1" xfId="0" applyFont="1" applyFill="1" applyBorder="1"/>
    <xf numFmtId="43" fontId="6" fillId="2" borderId="1" xfId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/>
    <xf numFmtId="4" fontId="8" fillId="0" borderId="0" xfId="0" applyNumberFormat="1" applyFont="1"/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>
      <alignment horizontal="right" vertical="center"/>
    </xf>
    <xf numFmtId="164" fontId="4" fillId="0" borderId="9" xfId="1" applyNumberFormat="1" applyFont="1" applyFill="1" applyBorder="1" applyAlignment="1">
      <alignment horizontal="right" vertical="center"/>
    </xf>
    <xf numFmtId="164" fontId="2" fillId="0" borderId="1" xfId="1" applyNumberFormat="1" applyFont="1" applyBorder="1"/>
    <xf numFmtId="164" fontId="0" fillId="0" borderId="1" xfId="1" applyNumberFormat="1" applyFont="1" applyBorder="1"/>
    <xf numFmtId="43" fontId="0" fillId="0" borderId="0" xfId="1" applyNumberFormat="1" applyFont="1"/>
    <xf numFmtId="3" fontId="5" fillId="3" borderId="8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164" fontId="5" fillId="3" borderId="8" xfId="1" applyNumberFormat="1" applyFont="1" applyFill="1" applyBorder="1" applyAlignment="1">
      <alignment horizontal="right" vertical="center"/>
    </xf>
    <xf numFmtId="10" fontId="0" fillId="0" borderId="0" xfId="0" applyNumberFormat="1"/>
    <xf numFmtId="164" fontId="0" fillId="0" borderId="0" xfId="0" applyNumberFormat="1"/>
    <xf numFmtId="164" fontId="9" fillId="0" borderId="10" xfId="1" applyNumberFormat="1" applyFont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 wrapText="1"/>
    </xf>
    <xf numFmtId="9" fontId="0" fillId="0" borderId="0" xfId="2" applyFont="1"/>
    <xf numFmtId="0" fontId="0" fillId="0" borderId="0" xfId="0" applyAlignment="1">
      <alignment horizontal="center" vertical="center"/>
    </xf>
    <xf numFmtId="164" fontId="2" fillId="0" borderId="0" xfId="1" applyNumberFormat="1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43" fontId="4" fillId="0" borderId="2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3" fontId="0" fillId="0" borderId="0" xfId="0" applyNumberFormat="1"/>
    <xf numFmtId="43" fontId="3" fillId="2" borderId="7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4" fillId="0" borderId="8" xfId="1" applyFont="1" applyBorder="1" applyAlignment="1">
      <alignment horizontal="right" vertical="center"/>
    </xf>
    <xf numFmtId="43" fontId="5" fillId="3" borderId="8" xfId="1" applyFont="1" applyFill="1" applyBorder="1" applyAlignment="1">
      <alignment horizontal="right" vertical="center"/>
    </xf>
    <xf numFmtId="43" fontId="10" fillId="0" borderId="0" xfId="1" applyFont="1"/>
    <xf numFmtId="2" fontId="4" fillId="0" borderId="8" xfId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563636</xdr:colOff>
      <xdr:row>3</xdr:row>
      <xdr:rowOff>180975</xdr:rowOff>
    </xdr:from>
    <xdr:to>
      <xdr:col>9</xdr:col>
      <xdr:colOff>309271</xdr:colOff>
      <xdr:row>5</xdr:row>
      <xdr:rowOff>104806</xdr:rowOff>
    </xdr:to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2036" y="752475"/>
          <a:ext cx="3260360" cy="304831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1</xdr:row>
      <xdr:rowOff>180975</xdr:rowOff>
    </xdr:from>
    <xdr:to>
      <xdr:col>8</xdr:col>
      <xdr:colOff>362268</xdr:colOff>
      <xdr:row>3</xdr:row>
      <xdr:rowOff>123870</xdr:rowOff>
    </xdr:to>
    <xdr:pic>
      <xdr:nvPicPr>
        <xdr:cNvPr id="3" name="Picture 2" descr="Screen Clippi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371475"/>
          <a:ext cx="2276793" cy="323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6</xdr:col>
      <xdr:colOff>600075</xdr:colOff>
      <xdr:row>18</xdr:row>
      <xdr:rowOff>8890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559"/>
        <a:stretch/>
      </xdr:blipFill>
      <xdr:spPr>
        <a:xfrm>
          <a:off x="1828800" y="952500"/>
          <a:ext cx="2428875" cy="24853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9524</xdr:colOff>
      <xdr:row>5</xdr:row>
      <xdr:rowOff>0</xdr:rowOff>
    </xdr:from>
    <xdr:to>
      <xdr:col>11</xdr:col>
      <xdr:colOff>43179</xdr:colOff>
      <xdr:row>18</xdr:row>
      <xdr:rowOff>8890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58"/>
        <a:stretch/>
      </xdr:blipFill>
      <xdr:spPr>
        <a:xfrm>
          <a:off x="4276724" y="952500"/>
          <a:ext cx="2472055" cy="24853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45"/>
  <sheetViews>
    <sheetView topLeftCell="A25" workbookViewId="0">
      <selection activeCell="F38" sqref="F38"/>
    </sheetView>
  </sheetViews>
  <sheetFormatPr defaultRowHeight="15" x14ac:dyDescent="0.25"/>
  <cols>
    <col min="3" max="3" width="9.140625" style="45"/>
    <col min="4" max="4" width="28.5703125" bestFit="1" customWidth="1"/>
    <col min="5" max="5" width="21.140625" style="27" bestFit="1" customWidth="1"/>
    <col min="6" max="6" width="20.28515625" bestFit="1" customWidth="1"/>
  </cols>
  <sheetData>
    <row r="8" spans="3:6" ht="15.75" thickBot="1" x14ac:dyDescent="0.3"/>
    <row r="9" spans="3:6" ht="15.75" thickBot="1" x14ac:dyDescent="0.3">
      <c r="D9" s="49" t="s">
        <v>28</v>
      </c>
      <c r="E9" s="50"/>
      <c r="F9" s="51"/>
    </row>
    <row r="11" spans="3:6" x14ac:dyDescent="0.25">
      <c r="D11" s="3" t="s">
        <v>26</v>
      </c>
      <c r="E11" s="34" t="s">
        <v>27</v>
      </c>
      <c r="F11" s="3" t="s">
        <v>25</v>
      </c>
    </row>
    <row r="12" spans="3:6" x14ac:dyDescent="0.25">
      <c r="C12" s="45">
        <v>1</v>
      </c>
      <c r="D12" s="2" t="s">
        <v>0</v>
      </c>
      <c r="E12" s="35">
        <v>1180000</v>
      </c>
      <c r="F12" s="47">
        <v>44636</v>
      </c>
    </row>
    <row r="13" spans="3:6" x14ac:dyDescent="0.25">
      <c r="C13" s="45">
        <f>C12+1</f>
        <v>2</v>
      </c>
      <c r="D13" s="2" t="s">
        <v>1</v>
      </c>
      <c r="E13" s="35">
        <v>8956941</v>
      </c>
      <c r="F13" s="48"/>
    </row>
    <row r="14" spans="3:6" x14ac:dyDescent="0.25">
      <c r="C14" s="45">
        <f t="shared" ref="C14:C36" si="0">C13+1</f>
        <v>3</v>
      </c>
      <c r="D14" s="2" t="s">
        <v>2</v>
      </c>
      <c r="E14" s="35">
        <v>563240</v>
      </c>
      <c r="F14" s="48"/>
    </row>
    <row r="15" spans="3:6" x14ac:dyDescent="0.25">
      <c r="C15" s="45">
        <f t="shared" si="0"/>
        <v>4</v>
      </c>
      <c r="D15" s="2" t="s">
        <v>3</v>
      </c>
      <c r="E15" s="35">
        <v>10918887</v>
      </c>
      <c r="F15" s="48"/>
    </row>
    <row r="16" spans="3:6" x14ac:dyDescent="0.25">
      <c r="C16" s="45">
        <f t="shared" si="0"/>
        <v>5</v>
      </c>
      <c r="D16" s="2" t="s">
        <v>4</v>
      </c>
      <c r="E16" s="35">
        <v>823010</v>
      </c>
      <c r="F16" s="48"/>
    </row>
    <row r="17" spans="3:6" x14ac:dyDescent="0.25">
      <c r="C17" s="45">
        <f t="shared" si="0"/>
        <v>6</v>
      </c>
      <c r="D17" s="2" t="s">
        <v>5</v>
      </c>
      <c r="E17" s="35">
        <v>8564032</v>
      </c>
      <c r="F17" s="48"/>
    </row>
    <row r="18" spans="3:6" x14ac:dyDescent="0.25">
      <c r="C18" s="45">
        <f t="shared" si="0"/>
        <v>7</v>
      </c>
      <c r="D18" s="2" t="s">
        <v>6</v>
      </c>
      <c r="E18" s="35">
        <v>385820</v>
      </c>
      <c r="F18" s="48"/>
    </row>
    <row r="19" spans="3:6" x14ac:dyDescent="0.25">
      <c r="C19" s="45">
        <f t="shared" si="0"/>
        <v>8</v>
      </c>
      <c r="D19" s="2" t="s">
        <v>7</v>
      </c>
      <c r="E19" s="35">
        <v>608811</v>
      </c>
      <c r="F19" s="48"/>
    </row>
    <row r="20" spans="3:6" x14ac:dyDescent="0.25">
      <c r="C20" s="45">
        <f t="shared" si="0"/>
        <v>9</v>
      </c>
      <c r="D20" s="2" t="s">
        <v>8</v>
      </c>
      <c r="E20" s="35">
        <v>11232919</v>
      </c>
      <c r="F20" s="48"/>
    </row>
    <row r="21" spans="3:6" x14ac:dyDescent="0.25">
      <c r="C21" s="45">
        <f t="shared" si="0"/>
        <v>10</v>
      </c>
      <c r="D21" s="2" t="s">
        <v>9</v>
      </c>
      <c r="E21" s="35">
        <v>373462</v>
      </c>
      <c r="F21" s="48"/>
    </row>
    <row r="22" spans="3:6" x14ac:dyDescent="0.25">
      <c r="C22" s="45">
        <f t="shared" si="0"/>
        <v>11</v>
      </c>
      <c r="D22" s="2" t="s">
        <v>10</v>
      </c>
      <c r="E22" s="35">
        <v>6525287</v>
      </c>
      <c r="F22" s="48"/>
    </row>
    <row r="23" spans="3:6" x14ac:dyDescent="0.25">
      <c r="C23" s="45">
        <f t="shared" si="0"/>
        <v>12</v>
      </c>
      <c r="D23" s="2" t="s">
        <v>11</v>
      </c>
      <c r="E23" s="35">
        <v>7852873</v>
      </c>
      <c r="F23" s="48"/>
    </row>
    <row r="24" spans="3:6" x14ac:dyDescent="0.25">
      <c r="C24" s="45">
        <f t="shared" si="0"/>
        <v>13</v>
      </c>
      <c r="D24" s="2" t="s">
        <v>12</v>
      </c>
      <c r="E24" s="35">
        <v>889000</v>
      </c>
      <c r="F24" s="48"/>
    </row>
    <row r="25" spans="3:6" x14ac:dyDescent="0.25">
      <c r="C25" s="45">
        <f t="shared" si="0"/>
        <v>14</v>
      </c>
      <c r="D25" s="2" t="s">
        <v>13</v>
      </c>
      <c r="E25" s="35">
        <v>3282076</v>
      </c>
      <c r="F25" s="48"/>
    </row>
    <row r="26" spans="3:6" x14ac:dyDescent="0.25">
      <c r="C26" s="45">
        <f t="shared" si="0"/>
        <v>15</v>
      </c>
      <c r="D26" s="2" t="s">
        <v>14</v>
      </c>
      <c r="E26" s="35">
        <v>7391204</v>
      </c>
      <c r="F26" s="48"/>
    </row>
    <row r="27" spans="3:6" x14ac:dyDescent="0.25">
      <c r="C27" s="45">
        <f t="shared" si="0"/>
        <v>16</v>
      </c>
      <c r="D27" s="2" t="s">
        <v>15</v>
      </c>
      <c r="E27" s="35">
        <v>2550000</v>
      </c>
      <c r="F27" s="48"/>
    </row>
    <row r="28" spans="3:6" x14ac:dyDescent="0.25">
      <c r="C28" s="45">
        <f t="shared" si="0"/>
        <v>17</v>
      </c>
      <c r="D28" s="2" t="s">
        <v>16</v>
      </c>
      <c r="E28" s="35">
        <v>73133130</v>
      </c>
      <c r="F28" s="48"/>
    </row>
    <row r="29" spans="3:6" x14ac:dyDescent="0.25">
      <c r="C29" s="45">
        <f t="shared" si="0"/>
        <v>18</v>
      </c>
      <c r="D29" s="2" t="s">
        <v>17</v>
      </c>
      <c r="E29" s="35">
        <v>1878260</v>
      </c>
      <c r="F29" s="48"/>
    </row>
    <row r="30" spans="3:6" x14ac:dyDescent="0.25">
      <c r="C30" s="45">
        <f t="shared" si="0"/>
        <v>19</v>
      </c>
      <c r="D30" s="2" t="s">
        <v>18</v>
      </c>
      <c r="E30" s="35">
        <v>2946379</v>
      </c>
      <c r="F30" s="48"/>
    </row>
    <row r="31" spans="3:6" x14ac:dyDescent="0.25">
      <c r="C31" s="45">
        <f t="shared" si="0"/>
        <v>20</v>
      </c>
      <c r="D31" s="2" t="s">
        <v>19</v>
      </c>
      <c r="E31" s="35">
        <v>1759355</v>
      </c>
      <c r="F31" s="48"/>
    </row>
    <row r="32" spans="3:6" x14ac:dyDescent="0.25">
      <c r="C32" s="45">
        <f t="shared" si="0"/>
        <v>21</v>
      </c>
      <c r="D32" s="2" t="s">
        <v>20</v>
      </c>
      <c r="E32" s="35">
        <v>35117195.200000003</v>
      </c>
      <c r="F32" s="48"/>
    </row>
    <row r="33" spans="3:6" x14ac:dyDescent="0.25">
      <c r="C33" s="45">
        <f t="shared" si="0"/>
        <v>22</v>
      </c>
      <c r="D33" s="2" t="s">
        <v>21</v>
      </c>
      <c r="E33" s="35">
        <v>1040000</v>
      </c>
      <c r="F33" s="48"/>
    </row>
    <row r="34" spans="3:6" x14ac:dyDescent="0.25">
      <c r="C34" s="45">
        <f t="shared" si="0"/>
        <v>23</v>
      </c>
      <c r="D34" s="2" t="s">
        <v>22</v>
      </c>
      <c r="E34" s="35">
        <v>1259566</v>
      </c>
      <c r="F34" s="48"/>
    </row>
    <row r="35" spans="3:6" x14ac:dyDescent="0.25">
      <c r="C35" s="45">
        <f t="shared" si="0"/>
        <v>24</v>
      </c>
      <c r="D35" s="2" t="s">
        <v>23</v>
      </c>
      <c r="E35" s="35">
        <v>5960872</v>
      </c>
      <c r="F35" s="48"/>
    </row>
    <row r="36" spans="3:6" x14ac:dyDescent="0.25">
      <c r="C36" s="45">
        <f t="shared" si="0"/>
        <v>25</v>
      </c>
      <c r="D36" s="2" t="s">
        <v>24</v>
      </c>
      <c r="E36" s="35">
        <v>2444634</v>
      </c>
      <c r="F36" s="48"/>
    </row>
    <row r="37" spans="3:6" x14ac:dyDescent="0.25">
      <c r="D37" s="2"/>
      <c r="E37" s="34">
        <f>SUM(E12:E36)</f>
        <v>197636953.19999999</v>
      </c>
      <c r="F37" s="2"/>
    </row>
    <row r="40" spans="3:6" x14ac:dyDescent="0.25">
      <c r="E40" s="27">
        <v>257350000</v>
      </c>
      <c r="F40" s="41">
        <f>E40</f>
        <v>257350000</v>
      </c>
    </row>
    <row r="41" spans="3:6" x14ac:dyDescent="0.25">
      <c r="E41" s="27">
        <v>1500000000</v>
      </c>
      <c r="F41" s="41">
        <f>E41</f>
        <v>1500000000</v>
      </c>
    </row>
    <row r="42" spans="3:6" x14ac:dyDescent="0.25">
      <c r="E42" s="27">
        <f>'Building Sheet'!M30</f>
        <v>188363370</v>
      </c>
      <c r="F42" s="41">
        <f>E37</f>
        <v>197636953.19999999</v>
      </c>
    </row>
    <row r="43" spans="3:6" x14ac:dyDescent="0.25">
      <c r="E43" s="27">
        <f>'Building Sheet'!M29</f>
        <v>21200000</v>
      </c>
      <c r="F43" s="27">
        <v>50000000</v>
      </c>
    </row>
    <row r="44" spans="3:6" x14ac:dyDescent="0.25">
      <c r="E44" s="46">
        <f>SUM(E41:E43)</f>
        <v>1709563370</v>
      </c>
      <c r="F44" s="46">
        <f>SUM(F41:F43)</f>
        <v>1747636953.2</v>
      </c>
    </row>
    <row r="45" spans="3:6" x14ac:dyDescent="0.25">
      <c r="E45" s="44"/>
    </row>
  </sheetData>
  <mergeCells count="2">
    <mergeCell ref="F12:F36"/>
    <mergeCell ref="D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H19"/>
  <sheetViews>
    <sheetView workbookViewId="0">
      <selection activeCell="H16" sqref="H16"/>
    </sheetView>
  </sheetViews>
  <sheetFormatPr defaultRowHeight="15" x14ac:dyDescent="0.25"/>
  <cols>
    <col min="7" max="7" width="14.85546875" bestFit="1" customWidth="1"/>
    <col min="8" max="8" width="10.42578125" bestFit="1" customWidth="1"/>
  </cols>
  <sheetData>
    <row r="7" spans="6:8" x14ac:dyDescent="0.25">
      <c r="F7" t="s">
        <v>73</v>
      </c>
      <c r="G7" t="s">
        <v>74</v>
      </c>
      <c r="H7" t="s">
        <v>75</v>
      </c>
    </row>
    <row r="8" spans="6:8" x14ac:dyDescent="0.25">
      <c r="F8">
        <v>1</v>
      </c>
      <c r="G8" t="s">
        <v>79</v>
      </c>
      <c r="H8" s="11">
        <v>44427</v>
      </c>
    </row>
    <row r="9" spans="6:8" ht="105" x14ac:dyDescent="0.25">
      <c r="F9">
        <f>F8+1</f>
        <v>2</v>
      </c>
      <c r="G9" s="20" t="s">
        <v>76</v>
      </c>
      <c r="H9" s="11">
        <v>44427</v>
      </c>
    </row>
    <row r="10" spans="6:8" ht="90" x14ac:dyDescent="0.25">
      <c r="F10">
        <f t="shared" ref="F10:F19" si="0">F9+1</f>
        <v>3</v>
      </c>
      <c r="G10" s="20" t="s">
        <v>77</v>
      </c>
      <c r="H10" s="11">
        <v>44408</v>
      </c>
    </row>
    <row r="11" spans="6:8" ht="45" x14ac:dyDescent="0.25">
      <c r="F11">
        <f t="shared" si="0"/>
        <v>4</v>
      </c>
      <c r="G11" s="21" t="s">
        <v>78</v>
      </c>
      <c r="H11" s="11">
        <v>44583</v>
      </c>
    </row>
    <row r="12" spans="6:8" ht="30" x14ac:dyDescent="0.25">
      <c r="F12">
        <f t="shared" si="0"/>
        <v>5</v>
      </c>
      <c r="G12" s="20" t="s">
        <v>80</v>
      </c>
      <c r="H12" s="11">
        <v>44729</v>
      </c>
    </row>
    <row r="13" spans="6:8" ht="45" x14ac:dyDescent="0.25">
      <c r="F13">
        <f t="shared" si="0"/>
        <v>6</v>
      </c>
      <c r="G13" s="20" t="s">
        <v>81</v>
      </c>
      <c r="H13" s="11">
        <v>44725</v>
      </c>
    </row>
    <row r="14" spans="6:8" ht="75" x14ac:dyDescent="0.25">
      <c r="F14">
        <f t="shared" si="0"/>
        <v>7</v>
      </c>
      <c r="G14" s="20" t="s">
        <v>82</v>
      </c>
      <c r="H14" s="11">
        <v>44525</v>
      </c>
    </row>
    <row r="15" spans="6:8" ht="90" x14ac:dyDescent="0.25">
      <c r="F15">
        <f t="shared" si="0"/>
        <v>8</v>
      </c>
      <c r="G15" s="20" t="s">
        <v>83</v>
      </c>
      <c r="H15" s="11">
        <v>44397</v>
      </c>
    </row>
    <row r="16" spans="6:8" ht="30" x14ac:dyDescent="0.25">
      <c r="F16">
        <f t="shared" si="0"/>
        <v>9</v>
      </c>
      <c r="G16" s="20" t="s">
        <v>84</v>
      </c>
      <c r="H16" s="11">
        <v>44459</v>
      </c>
    </row>
    <row r="17" spans="6:8" ht="120" x14ac:dyDescent="0.25">
      <c r="F17">
        <f t="shared" si="0"/>
        <v>10</v>
      </c>
      <c r="G17" s="20" t="s">
        <v>85</v>
      </c>
      <c r="H17" s="11">
        <v>44526</v>
      </c>
    </row>
    <row r="18" spans="6:8" x14ac:dyDescent="0.25">
      <c r="F18">
        <f t="shared" si="0"/>
        <v>11</v>
      </c>
    </row>
    <row r="19" spans="6:8" x14ac:dyDescent="0.25">
      <c r="F19">
        <f t="shared" si="0"/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K8"/>
  <sheetViews>
    <sheetView topLeftCell="E1" workbookViewId="0">
      <selection activeCell="G4" sqref="G4:K8"/>
    </sheetView>
  </sheetViews>
  <sheetFormatPr defaultRowHeight="15" x14ac:dyDescent="0.25"/>
  <cols>
    <col min="8" max="8" width="38.42578125" bestFit="1" customWidth="1"/>
    <col min="9" max="9" width="21.7109375" bestFit="1" customWidth="1"/>
    <col min="10" max="10" width="46" bestFit="1" customWidth="1"/>
  </cols>
  <sheetData>
    <row r="4" spans="7:11" x14ac:dyDescent="0.25">
      <c r="G4" s="23" t="s">
        <v>54</v>
      </c>
      <c r="H4" s="23" t="s">
        <v>86</v>
      </c>
      <c r="I4" s="23" t="s">
        <v>87</v>
      </c>
      <c r="J4" s="23" t="s">
        <v>88</v>
      </c>
      <c r="K4" s="23" t="s">
        <v>75</v>
      </c>
    </row>
    <row r="5" spans="7:11" x14ac:dyDescent="0.25">
      <c r="G5" s="2">
        <v>1</v>
      </c>
      <c r="H5" s="2" t="s">
        <v>96</v>
      </c>
      <c r="I5" s="2" t="s">
        <v>89</v>
      </c>
      <c r="J5" s="2" t="s">
        <v>90</v>
      </c>
      <c r="K5" s="22">
        <v>43012</v>
      </c>
    </row>
    <row r="6" spans="7:11" x14ac:dyDescent="0.25">
      <c r="G6" s="2">
        <v>2</v>
      </c>
      <c r="H6" s="2" t="s">
        <v>91</v>
      </c>
      <c r="I6" s="2" t="s">
        <v>89</v>
      </c>
      <c r="J6" s="2" t="s">
        <v>90</v>
      </c>
      <c r="K6" s="22">
        <v>43012</v>
      </c>
    </row>
    <row r="7" spans="7:11" x14ac:dyDescent="0.25">
      <c r="G7" s="2">
        <v>3</v>
      </c>
      <c r="H7" s="2" t="s">
        <v>92</v>
      </c>
      <c r="I7" s="2" t="s">
        <v>89</v>
      </c>
      <c r="J7" s="2" t="s">
        <v>93</v>
      </c>
      <c r="K7" s="22">
        <v>43012</v>
      </c>
    </row>
    <row r="8" spans="7:11" x14ac:dyDescent="0.25">
      <c r="G8" s="2">
        <v>4</v>
      </c>
      <c r="H8" s="2" t="s">
        <v>94</v>
      </c>
      <c r="I8" s="2" t="s">
        <v>89</v>
      </c>
      <c r="J8" s="2" t="s">
        <v>95</v>
      </c>
      <c r="K8" s="22">
        <v>43012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38"/>
  <sheetViews>
    <sheetView tabSelected="1" topLeftCell="C1" zoomScale="80" zoomScaleNormal="80" workbookViewId="0">
      <selection activeCell="J19" sqref="J19"/>
    </sheetView>
  </sheetViews>
  <sheetFormatPr defaultRowHeight="15" x14ac:dyDescent="0.25"/>
  <cols>
    <col min="4" max="4" width="6.140625" customWidth="1"/>
    <col min="5" max="5" width="7.7109375" customWidth="1"/>
    <col min="6" max="6" width="20.7109375" customWidth="1"/>
    <col min="7" max="7" width="12.7109375" style="1" customWidth="1"/>
    <col min="8" max="8" width="12.7109375" hidden="1" customWidth="1"/>
    <col min="9" max="9" width="14" hidden="1" customWidth="1"/>
    <col min="10" max="10" width="16.42578125" style="27" customWidth="1"/>
    <col min="11" max="11" width="18.7109375" style="27" customWidth="1"/>
    <col min="12" max="12" width="15.85546875" style="27" hidden="1" customWidth="1"/>
    <col min="13" max="13" width="18.5703125" style="27" bestFit="1" customWidth="1"/>
    <col min="14" max="14" width="14.28515625" style="27" customWidth="1"/>
    <col min="15" max="15" width="16.85546875" style="27" bestFit="1" customWidth="1"/>
    <col min="16" max="16" width="18" style="1" bestFit="1" customWidth="1"/>
    <col min="17" max="17" width="16.28515625" customWidth="1"/>
  </cols>
  <sheetData>
    <row r="3" spans="4:17" x14ac:dyDescent="0.25">
      <c r="H3" s="27"/>
      <c r="I3" s="1"/>
      <c r="N3" s="27">
        <v>20588</v>
      </c>
      <c r="O3" s="27">
        <v>12500</v>
      </c>
      <c r="P3" s="1">
        <f>O3*N3</f>
        <v>257350000</v>
      </c>
    </row>
    <row r="4" spans="4:17" x14ac:dyDescent="0.25">
      <c r="H4" s="16"/>
      <c r="K4" s="36">
        <f>K5/263</f>
        <v>5803957.6688760463</v>
      </c>
      <c r="M4" s="36">
        <f>M5/263</f>
        <v>5712061.6724521723</v>
      </c>
      <c r="P4" s="1">
        <f>P3+M5</f>
        <v>1759622219.8549213</v>
      </c>
    </row>
    <row r="5" spans="4:17" ht="15.75" thickBot="1" x14ac:dyDescent="0.3">
      <c r="K5" s="27">
        <f>SUM(K8:K22)</f>
        <v>1526440866.9144001</v>
      </c>
      <c r="M5" s="27">
        <f>SUM(M8:M22)</f>
        <v>1502272219.8549213</v>
      </c>
      <c r="P5" s="1">
        <v>190000000</v>
      </c>
    </row>
    <row r="6" spans="4:17" ht="30" x14ac:dyDescent="0.25">
      <c r="D6" s="52" t="s">
        <v>29</v>
      </c>
      <c r="E6" s="52" t="s">
        <v>30</v>
      </c>
      <c r="F6" s="52" t="s">
        <v>31</v>
      </c>
      <c r="G6" s="60" t="s">
        <v>32</v>
      </c>
      <c r="H6" s="18" t="s">
        <v>32</v>
      </c>
      <c r="I6" s="52" t="s">
        <v>53</v>
      </c>
      <c r="J6" s="29" t="s">
        <v>33</v>
      </c>
      <c r="K6" s="29" t="s">
        <v>35</v>
      </c>
      <c r="L6" s="29" t="s">
        <v>37</v>
      </c>
      <c r="M6" s="29" t="s">
        <v>38</v>
      </c>
      <c r="N6" s="30" t="s">
        <v>69</v>
      </c>
      <c r="O6" s="30" t="s">
        <v>67</v>
      </c>
      <c r="P6" s="1">
        <f>P5+P4</f>
        <v>1949622219.8549213</v>
      </c>
    </row>
    <row r="7" spans="4:17" ht="30.75" thickBot="1" x14ac:dyDescent="0.3">
      <c r="D7" s="53"/>
      <c r="E7" s="53"/>
      <c r="F7" s="53"/>
      <c r="G7" s="61" t="s">
        <v>65</v>
      </c>
      <c r="H7" s="19" t="s">
        <v>66</v>
      </c>
      <c r="I7" s="53"/>
      <c r="J7" s="31" t="s">
        <v>34</v>
      </c>
      <c r="K7" s="31" t="s">
        <v>36</v>
      </c>
      <c r="L7" s="31" t="s">
        <v>36</v>
      </c>
      <c r="M7" s="31" t="s">
        <v>36</v>
      </c>
      <c r="N7" s="30" t="s">
        <v>68</v>
      </c>
      <c r="O7" s="30" t="s">
        <v>36</v>
      </c>
      <c r="P7" s="1">
        <f>P6/263</f>
        <v>7413012.2427943777</v>
      </c>
    </row>
    <row r="8" spans="4:17" ht="15.75" thickBot="1" x14ac:dyDescent="0.3">
      <c r="D8" s="14">
        <v>1</v>
      </c>
      <c r="E8" s="15" t="s">
        <v>39</v>
      </c>
      <c r="F8" s="17" t="s">
        <v>64</v>
      </c>
      <c r="G8" s="62">
        <v>5041</v>
      </c>
      <c r="H8" s="7">
        <f>G8*10.7639</f>
        <v>54260.819899999995</v>
      </c>
      <c r="I8" s="8">
        <v>2021</v>
      </c>
      <c r="J8" s="32">
        <v>2500</v>
      </c>
      <c r="K8" s="32">
        <f t="shared" ref="K8:K21" si="0">H8*J8</f>
        <v>135652049.75</v>
      </c>
      <c r="L8" s="32">
        <f>(K8*0.95)/60</f>
        <v>2147824.1210416663</v>
      </c>
      <c r="M8" s="32">
        <f>K8-L8</f>
        <v>133504225.62895833</v>
      </c>
      <c r="N8" s="32">
        <v>12000</v>
      </c>
      <c r="O8" s="32">
        <f>N8*G8</f>
        <v>60492000</v>
      </c>
      <c r="P8" s="62"/>
      <c r="Q8" s="59"/>
    </row>
    <row r="9" spans="4:17" ht="15.75" thickBot="1" x14ac:dyDescent="0.3">
      <c r="D9" s="14">
        <f>D8+1</f>
        <v>2</v>
      </c>
      <c r="E9" s="6" t="s">
        <v>39</v>
      </c>
      <c r="F9" s="17" t="s">
        <v>47</v>
      </c>
      <c r="G9" s="62">
        <v>5041</v>
      </c>
      <c r="H9" s="7">
        <f>G9*10.7639</f>
        <v>54260.819899999995</v>
      </c>
      <c r="I9" s="8">
        <v>2021</v>
      </c>
      <c r="J9" s="32">
        <v>2500</v>
      </c>
      <c r="K9" s="32">
        <f t="shared" si="0"/>
        <v>135652049.75</v>
      </c>
      <c r="L9" s="32">
        <f>(K9*0.95)/60</f>
        <v>2147824.1210416663</v>
      </c>
      <c r="M9" s="32">
        <f>K9-L9</f>
        <v>133504225.62895833</v>
      </c>
      <c r="N9" s="32">
        <v>12000</v>
      </c>
      <c r="O9" s="32">
        <f t="shared" ref="O9:O22" si="1">N9*G9</f>
        <v>60492000</v>
      </c>
      <c r="P9" s="62"/>
      <c r="Q9" s="59"/>
    </row>
    <row r="10" spans="4:17" ht="15.75" thickBot="1" x14ac:dyDescent="0.3">
      <c r="D10" s="14">
        <f t="shared" ref="D10:D21" si="2">D9+1</f>
        <v>3</v>
      </c>
      <c r="E10" s="6" t="s">
        <v>39</v>
      </c>
      <c r="F10" s="17" t="s">
        <v>40</v>
      </c>
      <c r="G10" s="62">
        <v>5041</v>
      </c>
      <c r="H10" s="7">
        <f t="shared" ref="H10:H21" si="3">G10*10.7639</f>
        <v>54260.819899999995</v>
      </c>
      <c r="I10" s="8">
        <v>2021</v>
      </c>
      <c r="J10" s="32">
        <v>4500</v>
      </c>
      <c r="K10" s="32">
        <f t="shared" si="0"/>
        <v>244173689.54999998</v>
      </c>
      <c r="L10" s="32">
        <f t="shared" ref="L10:L22" si="4">(K10*0.95)/60</f>
        <v>3866083.4178749993</v>
      </c>
      <c r="M10" s="32">
        <f t="shared" ref="M10:M22" si="5">K10-L10</f>
        <v>240307606.13212499</v>
      </c>
      <c r="N10" s="32">
        <v>12000</v>
      </c>
      <c r="O10" s="32">
        <f t="shared" si="1"/>
        <v>60492000</v>
      </c>
      <c r="P10" s="62"/>
      <c r="Q10" s="59"/>
    </row>
    <row r="11" spans="4:17" ht="30.75" thickBot="1" x14ac:dyDescent="0.3">
      <c r="D11" s="14">
        <f t="shared" si="2"/>
        <v>4</v>
      </c>
      <c r="E11" s="6" t="s">
        <v>39</v>
      </c>
      <c r="F11" s="17" t="s">
        <v>48</v>
      </c>
      <c r="G11" s="62">
        <v>2848.78</v>
      </c>
      <c r="H11" s="7">
        <f t="shared" si="3"/>
        <v>30663.983042</v>
      </c>
      <c r="I11" s="8">
        <v>2021</v>
      </c>
      <c r="J11" s="32">
        <v>3300</v>
      </c>
      <c r="K11" s="32">
        <f t="shared" si="0"/>
        <v>101191144.0386</v>
      </c>
      <c r="L11" s="32">
        <f t="shared" si="4"/>
        <v>1602193.1139445</v>
      </c>
      <c r="M11" s="32">
        <f t="shared" si="5"/>
        <v>99588950.924655497</v>
      </c>
      <c r="N11" s="32">
        <v>12000</v>
      </c>
      <c r="O11" s="32">
        <f t="shared" si="1"/>
        <v>34185360</v>
      </c>
      <c r="P11" s="65"/>
      <c r="Q11" s="59"/>
    </row>
    <row r="12" spans="4:17" ht="15.75" thickBot="1" x14ac:dyDescent="0.3">
      <c r="D12" s="14">
        <f t="shared" si="2"/>
        <v>5</v>
      </c>
      <c r="E12" s="6" t="s">
        <v>39</v>
      </c>
      <c r="F12" s="17" t="s">
        <v>41</v>
      </c>
      <c r="G12" s="62">
        <v>5139.92</v>
      </c>
      <c r="H12" s="7">
        <f t="shared" si="3"/>
        <v>55325.584887999998</v>
      </c>
      <c r="I12" s="8">
        <v>2021</v>
      </c>
      <c r="J12" s="32">
        <v>3300</v>
      </c>
      <c r="K12" s="32">
        <f t="shared" si="0"/>
        <v>182574430.1304</v>
      </c>
      <c r="L12" s="32">
        <f t="shared" si="4"/>
        <v>2890761.8103979998</v>
      </c>
      <c r="M12" s="32">
        <f t="shared" si="5"/>
        <v>179683668.32000199</v>
      </c>
      <c r="N12" s="32">
        <v>12000</v>
      </c>
      <c r="O12" s="32">
        <f t="shared" si="1"/>
        <v>61679040</v>
      </c>
      <c r="P12" s="62"/>
      <c r="Q12" s="59"/>
    </row>
    <row r="13" spans="4:17" ht="15.75" thickBot="1" x14ac:dyDescent="0.3">
      <c r="D13" s="14">
        <f t="shared" si="2"/>
        <v>6</v>
      </c>
      <c r="E13" s="6" t="s">
        <v>39</v>
      </c>
      <c r="F13" s="17" t="s">
        <v>42</v>
      </c>
      <c r="G13" s="62">
        <v>3220.46</v>
      </c>
      <c r="H13" s="7">
        <f t="shared" si="3"/>
        <v>34664.709393999998</v>
      </c>
      <c r="I13" s="8">
        <v>2021</v>
      </c>
      <c r="J13" s="32">
        <v>3300</v>
      </c>
      <c r="K13" s="32">
        <f t="shared" si="0"/>
        <v>114393541.00019999</v>
      </c>
      <c r="L13" s="32">
        <f t="shared" si="4"/>
        <v>1811231.0658364997</v>
      </c>
      <c r="M13" s="32">
        <f t="shared" si="5"/>
        <v>112582309.93436348</v>
      </c>
      <c r="N13" s="32">
        <v>12000</v>
      </c>
      <c r="O13" s="32">
        <f t="shared" si="1"/>
        <v>38645520</v>
      </c>
      <c r="P13" s="62"/>
      <c r="Q13" s="59"/>
    </row>
    <row r="14" spans="4:17" ht="15.75" thickBot="1" x14ac:dyDescent="0.3">
      <c r="D14" s="14">
        <f t="shared" si="2"/>
        <v>7</v>
      </c>
      <c r="E14" s="6" t="s">
        <v>39</v>
      </c>
      <c r="F14" s="17" t="s">
        <v>43</v>
      </c>
      <c r="G14" s="62">
        <v>3220.46</v>
      </c>
      <c r="H14" s="7">
        <f t="shared" si="3"/>
        <v>34664.709393999998</v>
      </c>
      <c r="I14" s="8">
        <v>2021</v>
      </c>
      <c r="J14" s="32">
        <v>3300</v>
      </c>
      <c r="K14" s="32">
        <f t="shared" si="0"/>
        <v>114393541.00019999</v>
      </c>
      <c r="L14" s="32">
        <f t="shared" si="4"/>
        <v>1811231.0658364997</v>
      </c>
      <c r="M14" s="32">
        <f t="shared" si="5"/>
        <v>112582309.93436348</v>
      </c>
      <c r="N14" s="32">
        <v>12000</v>
      </c>
      <c r="O14" s="32">
        <f t="shared" si="1"/>
        <v>38645520</v>
      </c>
      <c r="P14" s="62"/>
      <c r="Q14" s="59"/>
    </row>
    <row r="15" spans="4:17" ht="15.75" thickBot="1" x14ac:dyDescent="0.3">
      <c r="D15" s="14">
        <f t="shared" si="2"/>
        <v>8</v>
      </c>
      <c r="E15" s="6" t="s">
        <v>39</v>
      </c>
      <c r="F15" s="17" t="s">
        <v>44</v>
      </c>
      <c r="G15" s="62">
        <v>3220.46</v>
      </c>
      <c r="H15" s="7">
        <f t="shared" si="3"/>
        <v>34664.709393999998</v>
      </c>
      <c r="I15" s="8">
        <v>2021</v>
      </c>
      <c r="J15" s="32">
        <v>3300</v>
      </c>
      <c r="K15" s="32">
        <f t="shared" si="0"/>
        <v>114393541.00019999</v>
      </c>
      <c r="L15" s="32">
        <f t="shared" si="4"/>
        <v>1811231.0658364997</v>
      </c>
      <c r="M15" s="32">
        <f t="shared" si="5"/>
        <v>112582309.93436348</v>
      </c>
      <c r="N15" s="32">
        <v>12000</v>
      </c>
      <c r="O15" s="32">
        <f t="shared" si="1"/>
        <v>38645520</v>
      </c>
      <c r="P15" s="62"/>
      <c r="Q15" s="59"/>
    </row>
    <row r="16" spans="4:17" ht="15.75" thickBot="1" x14ac:dyDescent="0.3">
      <c r="D16" s="14">
        <f t="shared" si="2"/>
        <v>9</v>
      </c>
      <c r="E16" s="6" t="s">
        <v>39</v>
      </c>
      <c r="F16" s="17" t="s">
        <v>45</v>
      </c>
      <c r="G16" s="62">
        <v>3220.46</v>
      </c>
      <c r="H16" s="7">
        <f t="shared" si="3"/>
        <v>34664.709393999998</v>
      </c>
      <c r="I16" s="8">
        <v>2021</v>
      </c>
      <c r="J16" s="32">
        <v>3300</v>
      </c>
      <c r="K16" s="32">
        <f t="shared" si="0"/>
        <v>114393541.00019999</v>
      </c>
      <c r="L16" s="32">
        <f t="shared" si="4"/>
        <v>1811231.0658364997</v>
      </c>
      <c r="M16" s="32">
        <f t="shared" si="5"/>
        <v>112582309.93436348</v>
      </c>
      <c r="N16" s="32">
        <v>12000</v>
      </c>
      <c r="O16" s="32">
        <f t="shared" si="1"/>
        <v>38645520</v>
      </c>
      <c r="P16" s="62"/>
      <c r="Q16" s="59"/>
    </row>
    <row r="17" spans="4:17" ht="15.75" thickBot="1" x14ac:dyDescent="0.3">
      <c r="D17" s="14">
        <f t="shared" si="2"/>
        <v>10</v>
      </c>
      <c r="E17" s="6" t="s">
        <v>39</v>
      </c>
      <c r="F17" s="17" t="s">
        <v>49</v>
      </c>
      <c r="G17" s="62">
        <v>1305.22</v>
      </c>
      <c r="H17" s="7">
        <f t="shared" si="3"/>
        <v>14049.257557999999</v>
      </c>
      <c r="I17" s="8">
        <v>2021</v>
      </c>
      <c r="J17" s="32">
        <v>2000</v>
      </c>
      <c r="K17" s="32">
        <f t="shared" si="0"/>
        <v>28098515.116</v>
      </c>
      <c r="L17" s="32">
        <f t="shared" si="4"/>
        <v>444893.15600333334</v>
      </c>
      <c r="M17" s="32">
        <f t="shared" si="5"/>
        <v>27653621.959996667</v>
      </c>
      <c r="N17" s="32">
        <v>12000</v>
      </c>
      <c r="O17" s="32">
        <f t="shared" si="1"/>
        <v>15662640</v>
      </c>
      <c r="P17" s="62"/>
      <c r="Q17" s="59"/>
    </row>
    <row r="18" spans="4:17" ht="15.75" thickBot="1" x14ac:dyDescent="0.3">
      <c r="D18" s="14">
        <f t="shared" si="2"/>
        <v>11</v>
      </c>
      <c r="E18" s="6" t="s">
        <v>39</v>
      </c>
      <c r="F18" s="17" t="s">
        <v>50</v>
      </c>
      <c r="G18" s="62">
        <v>3399.53</v>
      </c>
      <c r="H18" s="7">
        <f t="shared" si="3"/>
        <v>36592.200967000004</v>
      </c>
      <c r="I18" s="8">
        <v>2021</v>
      </c>
      <c r="J18" s="32">
        <v>3300</v>
      </c>
      <c r="K18" s="32">
        <f t="shared" si="0"/>
        <v>120754263.19110002</v>
      </c>
      <c r="L18" s="32">
        <f t="shared" si="4"/>
        <v>1911942.5005257502</v>
      </c>
      <c r="M18" s="32">
        <f t="shared" si="5"/>
        <v>118842320.69057426</v>
      </c>
      <c r="N18" s="32">
        <v>12000</v>
      </c>
      <c r="O18" s="32">
        <f t="shared" si="1"/>
        <v>40794360</v>
      </c>
      <c r="P18" s="62"/>
      <c r="Q18" s="59"/>
    </row>
    <row r="19" spans="4:17" ht="30.75" thickBot="1" x14ac:dyDescent="0.3">
      <c r="D19" s="14">
        <f t="shared" si="2"/>
        <v>12</v>
      </c>
      <c r="E19" s="6" t="s">
        <v>39</v>
      </c>
      <c r="F19" s="17" t="s">
        <v>51</v>
      </c>
      <c r="G19" s="62">
        <v>3040.31</v>
      </c>
      <c r="H19" s="7">
        <f t="shared" si="3"/>
        <v>32725.592808999998</v>
      </c>
      <c r="I19" s="8">
        <v>2021</v>
      </c>
      <c r="J19" s="32">
        <v>2000</v>
      </c>
      <c r="K19" s="32">
        <f t="shared" si="0"/>
        <v>65451185.617999993</v>
      </c>
      <c r="L19" s="32">
        <f t="shared" si="4"/>
        <v>1036310.4389516666</v>
      </c>
      <c r="M19" s="32">
        <f t="shared" si="5"/>
        <v>64414875.17904833</v>
      </c>
      <c r="N19" s="32">
        <v>12000</v>
      </c>
      <c r="O19" s="32">
        <f t="shared" si="1"/>
        <v>36483720</v>
      </c>
      <c r="P19" s="62"/>
      <c r="Q19" s="59"/>
    </row>
    <row r="20" spans="4:17" ht="15.75" thickBot="1" x14ac:dyDescent="0.3">
      <c r="D20" s="14">
        <f t="shared" si="2"/>
        <v>13</v>
      </c>
      <c r="E20" s="6" t="s">
        <v>46</v>
      </c>
      <c r="F20" s="17" t="s">
        <v>71</v>
      </c>
      <c r="G20" s="57">
        <v>250000</v>
      </c>
      <c r="H20" s="58"/>
      <c r="I20" s="8">
        <v>2021</v>
      </c>
      <c r="J20" s="32">
        <v>20</v>
      </c>
      <c r="K20" s="32">
        <f>J20*G20</f>
        <v>5000000</v>
      </c>
      <c r="L20" s="32">
        <f t="shared" si="4"/>
        <v>79166.666666666672</v>
      </c>
      <c r="M20" s="32">
        <f t="shared" si="5"/>
        <v>4920833.333333333</v>
      </c>
      <c r="N20" s="32">
        <v>0</v>
      </c>
      <c r="O20" s="32">
        <f t="shared" si="1"/>
        <v>0</v>
      </c>
      <c r="P20" s="62"/>
      <c r="Q20" s="59"/>
    </row>
    <row r="21" spans="4:17" ht="15.75" thickBot="1" x14ac:dyDescent="0.3">
      <c r="D21" s="14">
        <f t="shared" si="2"/>
        <v>14</v>
      </c>
      <c r="E21" s="6" t="s">
        <v>46</v>
      </c>
      <c r="F21" s="17" t="s">
        <v>52</v>
      </c>
      <c r="G21" s="62">
        <v>1314.43</v>
      </c>
      <c r="H21" s="7">
        <f t="shared" si="3"/>
        <v>14148.393077000001</v>
      </c>
      <c r="I21" s="8">
        <v>2021</v>
      </c>
      <c r="J21" s="32">
        <v>3500</v>
      </c>
      <c r="K21" s="32">
        <f t="shared" si="0"/>
        <v>49519375.769500002</v>
      </c>
      <c r="L21" s="32">
        <f t="shared" si="4"/>
        <v>784056.78301708342</v>
      </c>
      <c r="M21" s="32">
        <f t="shared" si="5"/>
        <v>48735318.986482918</v>
      </c>
      <c r="N21" s="32">
        <v>12000</v>
      </c>
      <c r="O21" s="32">
        <f t="shared" si="1"/>
        <v>15773160</v>
      </c>
      <c r="P21" s="64"/>
      <c r="Q21" s="59"/>
    </row>
    <row r="22" spans="4:17" ht="30.75" thickBot="1" x14ac:dyDescent="0.3">
      <c r="D22" s="14">
        <v>15</v>
      </c>
      <c r="E22" s="6"/>
      <c r="F22" s="17" t="s">
        <v>72</v>
      </c>
      <c r="G22" s="57">
        <v>20000</v>
      </c>
      <c r="H22" s="58"/>
      <c r="I22" s="8">
        <v>2021</v>
      </c>
      <c r="J22" s="32">
        <v>40</v>
      </c>
      <c r="K22" s="32">
        <f>J22*G22</f>
        <v>800000</v>
      </c>
      <c r="L22" s="32">
        <f t="shared" si="4"/>
        <v>12666.666666666666</v>
      </c>
      <c r="M22" s="32">
        <f t="shared" si="5"/>
        <v>787333.33333333337</v>
      </c>
      <c r="N22" s="32">
        <v>0</v>
      </c>
      <c r="O22" s="32">
        <f t="shared" si="1"/>
        <v>0</v>
      </c>
    </row>
    <row r="23" spans="4:17" ht="15.75" thickBot="1" x14ac:dyDescent="0.3">
      <c r="D23" s="54" t="s">
        <v>70</v>
      </c>
      <c r="E23" s="55"/>
      <c r="F23" s="56"/>
      <c r="G23" s="63">
        <f>SUM(G21,G8:G19)</f>
        <v>45053.029999999992</v>
      </c>
      <c r="H23" s="37">
        <f>SUM(H21,H8:H19)</f>
        <v>484946.30961699999</v>
      </c>
      <c r="I23" s="38"/>
      <c r="J23" s="39"/>
      <c r="K23" s="39">
        <f>SUM(K8:K22)</f>
        <v>1526440866.9144001</v>
      </c>
      <c r="L23" s="39">
        <f>SUM(L8:L22)</f>
        <v>24168647.059478004</v>
      </c>
      <c r="M23" s="39">
        <f>SUM(M8:M22)</f>
        <v>1502272219.8549213</v>
      </c>
      <c r="N23" s="39"/>
      <c r="O23" s="39">
        <f>SUM(O8:O22)</f>
        <v>540636360</v>
      </c>
    </row>
    <row r="24" spans="4:17" x14ac:dyDescent="0.25">
      <c r="M24" s="33">
        <f>P3</f>
        <v>257350000</v>
      </c>
    </row>
    <row r="26" spans="4:17" ht="15.75" thickBot="1" x14ac:dyDescent="0.3"/>
    <row r="27" spans="4:17" ht="15.75" thickBot="1" x14ac:dyDescent="0.3">
      <c r="H27" s="27">
        <f>K27/J27</f>
        <v>21666.666666666668</v>
      </c>
      <c r="J27" s="27">
        <v>300</v>
      </c>
      <c r="K27" s="27">
        <f>65*10^5</f>
        <v>6500000</v>
      </c>
      <c r="M27" s="42">
        <f>P3</f>
        <v>257350000</v>
      </c>
    </row>
    <row r="28" spans="4:17" ht="15.75" thickBot="1" x14ac:dyDescent="0.3">
      <c r="H28" s="27">
        <f>K28/J28</f>
        <v>17500</v>
      </c>
      <c r="J28" s="27">
        <v>200</v>
      </c>
      <c r="K28" s="27">
        <v>3500000</v>
      </c>
      <c r="M28" s="43">
        <f>M23</f>
        <v>1502272219.8549213</v>
      </c>
      <c r="P28" s="1">
        <v>28.5</v>
      </c>
    </row>
    <row r="29" spans="4:17" ht="15.75" thickBot="1" x14ac:dyDescent="0.3">
      <c r="H29" s="27">
        <f>K29/J29</f>
        <v>26666.666666666668</v>
      </c>
      <c r="J29" s="27">
        <v>150</v>
      </c>
      <c r="K29" s="27">
        <v>4000000</v>
      </c>
      <c r="M29" s="43">
        <v>21200000</v>
      </c>
      <c r="P29" s="1">
        <v>19.7</v>
      </c>
    </row>
    <row r="30" spans="4:17" ht="15.75" thickBot="1" x14ac:dyDescent="0.3">
      <c r="K30" s="27">
        <f>SUM(K27:K29)</f>
        <v>14000000</v>
      </c>
      <c r="M30" s="43">
        <v>188363370</v>
      </c>
      <c r="P30" s="1">
        <v>19.5</v>
      </c>
    </row>
    <row r="31" spans="4:17" x14ac:dyDescent="0.25">
      <c r="M31" s="27">
        <f>SUM(M27:M30)</f>
        <v>1969185589.8549213</v>
      </c>
      <c r="N31" s="36">
        <f>M31/263</f>
        <v>7487397.6800567349</v>
      </c>
      <c r="P31" s="1">
        <v>0.67700000000000005</v>
      </c>
      <c r="Q31">
        <v>1.62</v>
      </c>
    </row>
    <row r="32" spans="4:17" x14ac:dyDescent="0.25">
      <c r="K32" s="27">
        <v>699712200</v>
      </c>
      <c r="M32" s="27">
        <v>1970000000</v>
      </c>
      <c r="Q32">
        <f>Q31*10^7</f>
        <v>16200000.000000002</v>
      </c>
    </row>
    <row r="33" spans="8:17" x14ac:dyDescent="0.25">
      <c r="K33" s="44">
        <f>K32/M32</f>
        <v>0.35518385786802031</v>
      </c>
      <c r="M33" s="27">
        <f>M32*0.85</f>
        <v>1674500000</v>
      </c>
      <c r="Q33" s="27">
        <f>Q32*P31</f>
        <v>10967400.000000002</v>
      </c>
    </row>
    <row r="34" spans="8:17" x14ac:dyDescent="0.25">
      <c r="M34" s="27">
        <f>M32*0.75</f>
        <v>1477500000</v>
      </c>
      <c r="Q34" s="41">
        <f>Q33*263</f>
        <v>2884426200.0000005</v>
      </c>
    </row>
    <row r="35" spans="8:17" x14ac:dyDescent="0.25">
      <c r="H35">
        <v>17216</v>
      </c>
    </row>
    <row r="36" spans="8:17" x14ac:dyDescent="0.25">
      <c r="H36" s="27">
        <f>H35/4047</f>
        <v>4.2540153199901161</v>
      </c>
    </row>
    <row r="37" spans="8:17" x14ac:dyDescent="0.25">
      <c r="H37" s="27">
        <f>H36*5000000</f>
        <v>21270076.599950582</v>
      </c>
    </row>
    <row r="38" spans="8:17" x14ac:dyDescent="0.25">
      <c r="H38" s="16">
        <f>H37/10^7</f>
        <v>2.127007659995058</v>
      </c>
    </row>
  </sheetData>
  <mergeCells count="7">
    <mergeCell ref="D6:D7"/>
    <mergeCell ref="E6:E7"/>
    <mergeCell ref="F6:F7"/>
    <mergeCell ref="I6:I7"/>
    <mergeCell ref="D23:F23"/>
    <mergeCell ref="G20:H20"/>
    <mergeCell ref="G22:H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37"/>
  <sheetViews>
    <sheetView topLeftCell="D3" workbookViewId="0">
      <selection activeCell="G22" sqref="G22"/>
    </sheetView>
  </sheetViews>
  <sheetFormatPr defaultRowHeight="15" x14ac:dyDescent="0.25"/>
  <cols>
    <col min="4" max="4" width="6.140625" customWidth="1"/>
    <col min="5" max="5" width="7.7109375" customWidth="1"/>
    <col min="6" max="6" width="20.7109375" customWidth="1"/>
    <col min="7" max="8" width="12.7109375" customWidth="1"/>
    <col min="9" max="9" width="14" customWidth="1"/>
    <col min="10" max="10" width="16.42578125" style="27" customWidth="1"/>
    <col min="11" max="11" width="18.7109375" style="27" customWidth="1"/>
    <col min="12" max="12" width="15.85546875" style="27" customWidth="1"/>
    <col min="13" max="13" width="18.5703125" style="27" bestFit="1" customWidth="1"/>
    <col min="14" max="14" width="14.28515625" style="27" customWidth="1"/>
    <col min="15" max="15" width="16.85546875" style="27" bestFit="1" customWidth="1"/>
    <col min="16" max="16" width="18" bestFit="1" customWidth="1"/>
    <col min="17" max="17" width="16.28515625" customWidth="1"/>
  </cols>
  <sheetData>
    <row r="3" spans="4:16" x14ac:dyDescent="0.25">
      <c r="H3" s="27"/>
      <c r="I3" s="1"/>
      <c r="N3" s="27">
        <v>20588</v>
      </c>
      <c r="O3" s="27">
        <v>12500</v>
      </c>
      <c r="P3" s="27">
        <f>O3*N3</f>
        <v>257350000</v>
      </c>
    </row>
    <row r="4" spans="4:16" x14ac:dyDescent="0.25">
      <c r="H4" s="16"/>
      <c r="K4" s="36">
        <f>K5/263</f>
        <v>5019351.9503216734</v>
      </c>
      <c r="M4" s="36">
        <f>M5/263</f>
        <v>4939878.8777749129</v>
      </c>
      <c r="P4" s="27">
        <f>P3+M5</f>
        <v>1556538144.8548021</v>
      </c>
    </row>
    <row r="5" spans="4:16" ht="15.75" thickBot="1" x14ac:dyDescent="0.3">
      <c r="K5" s="27">
        <f>SUM(K8:K21)</f>
        <v>1320089562.9346001</v>
      </c>
      <c r="M5" s="27">
        <f>SUM(M8:M21)</f>
        <v>1299188144.8548021</v>
      </c>
      <c r="P5" s="27">
        <v>190000000</v>
      </c>
    </row>
    <row r="6" spans="4:16" ht="30" x14ac:dyDescent="0.25">
      <c r="D6" s="52" t="s">
        <v>29</v>
      </c>
      <c r="E6" s="52" t="s">
        <v>30</v>
      </c>
      <c r="F6" s="52" t="s">
        <v>31</v>
      </c>
      <c r="G6" s="18" t="s">
        <v>32</v>
      </c>
      <c r="H6" s="18" t="s">
        <v>32</v>
      </c>
      <c r="I6" s="52" t="s">
        <v>53</v>
      </c>
      <c r="J6" s="29" t="s">
        <v>33</v>
      </c>
      <c r="K6" s="29" t="s">
        <v>35</v>
      </c>
      <c r="L6" s="29" t="s">
        <v>37</v>
      </c>
      <c r="M6" s="29" t="s">
        <v>38</v>
      </c>
      <c r="N6" s="30" t="s">
        <v>69</v>
      </c>
      <c r="O6" s="30" t="s">
        <v>67</v>
      </c>
      <c r="P6" s="41">
        <f>P5+P4</f>
        <v>1746538144.8548021</v>
      </c>
    </row>
    <row r="7" spans="4:16" ht="30.75" thickBot="1" x14ac:dyDescent="0.3">
      <c r="D7" s="53"/>
      <c r="E7" s="53"/>
      <c r="F7" s="53"/>
      <c r="G7" s="19" t="s">
        <v>65</v>
      </c>
      <c r="H7" s="19" t="s">
        <v>66</v>
      </c>
      <c r="I7" s="53"/>
      <c r="J7" s="31" t="s">
        <v>34</v>
      </c>
      <c r="K7" s="31" t="s">
        <v>36</v>
      </c>
      <c r="L7" s="31" t="s">
        <v>36</v>
      </c>
      <c r="M7" s="31" t="s">
        <v>36</v>
      </c>
      <c r="N7" s="30" t="s">
        <v>68</v>
      </c>
      <c r="O7" s="30" t="s">
        <v>36</v>
      </c>
      <c r="P7" s="16">
        <f>P6/263</f>
        <v>6640829.4481171183</v>
      </c>
    </row>
    <row r="8" spans="4:16" ht="15.75" thickBot="1" x14ac:dyDescent="0.3">
      <c r="D8" s="14">
        <v>1</v>
      </c>
      <c r="E8" s="15" t="s">
        <v>39</v>
      </c>
      <c r="F8" s="17" t="s">
        <v>64</v>
      </c>
      <c r="G8" s="7">
        <v>5911.23</v>
      </c>
      <c r="H8" s="7">
        <f>G8*10.7639</f>
        <v>63627.88859699999</v>
      </c>
      <c r="I8" s="8">
        <v>2021</v>
      </c>
      <c r="J8" s="32">
        <v>2700</v>
      </c>
      <c r="K8" s="32">
        <f t="shared" ref="K8:K19" si="0">H8*J8</f>
        <v>171795299.21189997</v>
      </c>
      <c r="L8" s="32">
        <f>(K8*0.95)/60</f>
        <v>2720092.2375217495</v>
      </c>
      <c r="M8" s="32">
        <f>K8-L8</f>
        <v>169075206.97437823</v>
      </c>
      <c r="N8" s="32">
        <v>12000</v>
      </c>
      <c r="O8" s="32">
        <f>N8*G8</f>
        <v>70934760</v>
      </c>
    </row>
    <row r="9" spans="4:16" ht="15.75" thickBot="1" x14ac:dyDescent="0.3">
      <c r="D9" s="14">
        <f>D8+1</f>
        <v>2</v>
      </c>
      <c r="E9" s="6" t="s">
        <v>39</v>
      </c>
      <c r="F9" s="17" t="s">
        <v>47</v>
      </c>
      <c r="G9" s="7">
        <v>5883.68</v>
      </c>
      <c r="H9" s="7">
        <f>G9*10.7639</f>
        <v>63331.343152000001</v>
      </c>
      <c r="I9" s="8">
        <v>2021</v>
      </c>
      <c r="J9" s="32">
        <v>2700</v>
      </c>
      <c r="K9" s="32">
        <f t="shared" si="0"/>
        <v>170994626.5104</v>
      </c>
      <c r="L9" s="32">
        <f>(K9*0.95)/60</f>
        <v>2707414.9197479999</v>
      </c>
      <c r="M9" s="32">
        <f>K9-L9</f>
        <v>168287211.59065199</v>
      </c>
      <c r="N9" s="32">
        <v>12000</v>
      </c>
      <c r="O9" s="32">
        <f t="shared" ref="O9:O21" si="1">N9*G9</f>
        <v>70604160</v>
      </c>
      <c r="P9" s="9"/>
    </row>
    <row r="10" spans="4:16" ht="30.75" thickBot="1" x14ac:dyDescent="0.3">
      <c r="D10" s="14">
        <f t="shared" ref="D10:D21" si="2">D9+1</f>
        <v>3</v>
      </c>
      <c r="E10" s="6" t="s">
        <v>39</v>
      </c>
      <c r="F10" s="17" t="s">
        <v>98</v>
      </c>
      <c r="G10" s="7">
        <v>241.33</v>
      </c>
      <c r="H10" s="7">
        <f>G10*10.7639</f>
        <v>2597.6519870000002</v>
      </c>
      <c r="I10" s="8">
        <v>2021</v>
      </c>
      <c r="J10" s="32">
        <v>2700</v>
      </c>
      <c r="K10" s="32">
        <f t="shared" ref="K10" si="3">H10*J10</f>
        <v>7013660.3649000004</v>
      </c>
      <c r="L10" s="32">
        <f>(K10*0.95)/60</f>
        <v>111049.62244425</v>
      </c>
      <c r="M10" s="32">
        <f>K10-L10</f>
        <v>6902610.7424557507</v>
      </c>
      <c r="N10" s="32">
        <v>12000</v>
      </c>
      <c r="O10" s="32">
        <f t="shared" ref="O10" si="4">N10*G10</f>
        <v>2895960</v>
      </c>
      <c r="P10" s="9"/>
    </row>
    <row r="11" spans="4:16" ht="15.75" thickBot="1" x14ac:dyDescent="0.3">
      <c r="D11" s="14">
        <f t="shared" si="2"/>
        <v>4</v>
      </c>
      <c r="E11" s="6" t="s">
        <v>39</v>
      </c>
      <c r="F11" s="17" t="s">
        <v>40</v>
      </c>
      <c r="G11" s="7">
        <v>5061.72</v>
      </c>
      <c r="H11" s="7">
        <f t="shared" ref="H11:H19" si="5">G11*10.7639</f>
        <v>54483.847908000003</v>
      </c>
      <c r="I11" s="8">
        <v>2021</v>
      </c>
      <c r="J11" s="32">
        <v>3300</v>
      </c>
      <c r="K11" s="32">
        <f>H11*J11</f>
        <v>179796698.09640002</v>
      </c>
      <c r="L11" s="32">
        <f t="shared" ref="L11:L21" si="6">(K11*0.95)/60</f>
        <v>2846781.0531930006</v>
      </c>
      <c r="M11" s="32">
        <f t="shared" ref="M11:M21" si="7">K11-L11</f>
        <v>176949917.04320702</v>
      </c>
      <c r="N11" s="32">
        <v>12000</v>
      </c>
      <c r="O11" s="32">
        <f t="shared" si="1"/>
        <v>60740640</v>
      </c>
    </row>
    <row r="12" spans="4:16" ht="15.75" thickBot="1" x14ac:dyDescent="0.3">
      <c r="D12" s="14">
        <f t="shared" si="2"/>
        <v>5</v>
      </c>
      <c r="E12" s="6" t="s">
        <v>39</v>
      </c>
      <c r="F12" s="17" t="s">
        <v>97</v>
      </c>
      <c r="G12" s="7">
        <v>1741.87</v>
      </c>
      <c r="H12" s="7">
        <f t="shared" si="5"/>
        <v>18749.314492999998</v>
      </c>
      <c r="I12" s="8">
        <v>2021</v>
      </c>
      <c r="J12" s="32">
        <v>3300</v>
      </c>
      <c r="K12" s="32">
        <f t="shared" si="0"/>
        <v>61872737.82689999</v>
      </c>
      <c r="L12" s="32">
        <f t="shared" si="6"/>
        <v>979651.68225924985</v>
      </c>
      <c r="M12" s="32">
        <f t="shared" si="7"/>
        <v>60893086.144640744</v>
      </c>
      <c r="N12" s="32">
        <v>12000</v>
      </c>
      <c r="O12" s="32">
        <f t="shared" si="1"/>
        <v>20902440</v>
      </c>
    </row>
    <row r="13" spans="4:16" ht="15.75" thickBot="1" x14ac:dyDescent="0.3">
      <c r="D13" s="14"/>
      <c r="E13" s="6" t="s">
        <v>39</v>
      </c>
      <c r="F13" s="17" t="s">
        <v>99</v>
      </c>
      <c r="G13" s="7">
        <v>3115.41</v>
      </c>
      <c r="H13" s="7">
        <f t="shared" si="5"/>
        <v>33533.961698999999</v>
      </c>
      <c r="I13" s="8">
        <v>2021</v>
      </c>
      <c r="J13" s="32">
        <v>4500</v>
      </c>
      <c r="K13" s="32">
        <f t="shared" si="0"/>
        <v>150902827.6455</v>
      </c>
      <c r="L13" s="32">
        <f t="shared" si="6"/>
        <v>2389294.7710537496</v>
      </c>
      <c r="M13" s="32">
        <f t="shared" si="7"/>
        <v>148513532.87444624</v>
      </c>
      <c r="N13" s="32">
        <v>12000</v>
      </c>
      <c r="O13" s="32">
        <f t="shared" ref="O13" si="8">N13*G13</f>
        <v>37384920</v>
      </c>
    </row>
    <row r="14" spans="4:16" ht="15.75" thickBot="1" x14ac:dyDescent="0.3">
      <c r="D14" s="14">
        <f>D12+1</f>
        <v>6</v>
      </c>
      <c r="E14" s="6" t="s">
        <v>39</v>
      </c>
      <c r="F14" s="17" t="s">
        <v>41</v>
      </c>
      <c r="G14" s="7">
        <v>2803.1</v>
      </c>
      <c r="H14" s="7">
        <f t="shared" si="5"/>
        <v>30172.288089999998</v>
      </c>
      <c r="I14" s="8">
        <v>2021</v>
      </c>
      <c r="J14" s="32">
        <v>3300</v>
      </c>
      <c r="K14" s="32">
        <f t="shared" si="0"/>
        <v>99568550.696999997</v>
      </c>
      <c r="L14" s="32">
        <f t="shared" si="6"/>
        <v>1576502.0527025</v>
      </c>
      <c r="M14" s="32">
        <f t="shared" si="7"/>
        <v>97992048.644297495</v>
      </c>
      <c r="N14" s="32">
        <v>12000</v>
      </c>
      <c r="O14" s="32">
        <f t="shared" si="1"/>
        <v>33637200</v>
      </c>
    </row>
    <row r="15" spans="4:16" ht="15.75" thickBot="1" x14ac:dyDescent="0.3">
      <c r="D15" s="14">
        <f t="shared" si="2"/>
        <v>7</v>
      </c>
      <c r="E15" s="6" t="s">
        <v>39</v>
      </c>
      <c r="F15" s="17" t="s">
        <v>42</v>
      </c>
      <c r="G15" s="7">
        <v>2803.1</v>
      </c>
      <c r="H15" s="7">
        <f t="shared" si="5"/>
        <v>30172.288089999998</v>
      </c>
      <c r="I15" s="8">
        <v>2021</v>
      </c>
      <c r="J15" s="32">
        <v>3300</v>
      </c>
      <c r="K15" s="32">
        <f t="shared" si="0"/>
        <v>99568550.696999997</v>
      </c>
      <c r="L15" s="32">
        <f t="shared" si="6"/>
        <v>1576502.0527025</v>
      </c>
      <c r="M15" s="32">
        <f t="shared" si="7"/>
        <v>97992048.644297495</v>
      </c>
      <c r="N15" s="32">
        <v>12000</v>
      </c>
      <c r="O15" s="32">
        <f t="shared" si="1"/>
        <v>33637200</v>
      </c>
    </row>
    <row r="16" spans="4:16" ht="15.75" thickBot="1" x14ac:dyDescent="0.3">
      <c r="D16" s="14">
        <f t="shared" si="2"/>
        <v>8</v>
      </c>
      <c r="E16" s="6" t="s">
        <v>39</v>
      </c>
      <c r="F16" s="17" t="s">
        <v>43</v>
      </c>
      <c r="G16" s="7">
        <v>2803.1</v>
      </c>
      <c r="H16" s="7">
        <f t="shared" si="5"/>
        <v>30172.288089999998</v>
      </c>
      <c r="I16" s="8">
        <v>2021</v>
      </c>
      <c r="J16" s="32">
        <v>3300</v>
      </c>
      <c r="K16" s="32">
        <f t="shared" si="0"/>
        <v>99568550.696999997</v>
      </c>
      <c r="L16" s="32">
        <f t="shared" si="6"/>
        <v>1576502.0527025</v>
      </c>
      <c r="M16" s="32">
        <f t="shared" si="7"/>
        <v>97992048.644297495</v>
      </c>
      <c r="N16" s="32">
        <v>12000</v>
      </c>
      <c r="O16" s="32">
        <f t="shared" si="1"/>
        <v>33637200</v>
      </c>
    </row>
    <row r="17" spans="4:17" ht="15.75" thickBot="1" x14ac:dyDescent="0.3">
      <c r="D17" s="14">
        <f t="shared" si="2"/>
        <v>9</v>
      </c>
      <c r="E17" s="6" t="s">
        <v>39</v>
      </c>
      <c r="F17" s="17" t="s">
        <v>44</v>
      </c>
      <c r="G17" s="7">
        <v>2803.1</v>
      </c>
      <c r="H17" s="7">
        <f t="shared" si="5"/>
        <v>30172.288089999998</v>
      </c>
      <c r="I17" s="8">
        <v>2021</v>
      </c>
      <c r="J17" s="32">
        <v>3300</v>
      </c>
      <c r="K17" s="32">
        <f t="shared" si="0"/>
        <v>99568550.696999997</v>
      </c>
      <c r="L17" s="32">
        <f t="shared" si="6"/>
        <v>1576502.0527025</v>
      </c>
      <c r="M17" s="32">
        <f t="shared" si="7"/>
        <v>97992048.644297495</v>
      </c>
      <c r="N17" s="32">
        <v>12000</v>
      </c>
      <c r="O17" s="32">
        <f t="shared" si="1"/>
        <v>33637200</v>
      </c>
    </row>
    <row r="18" spans="4:17" ht="15.75" thickBot="1" x14ac:dyDescent="0.3">
      <c r="D18" s="14">
        <f t="shared" si="2"/>
        <v>10</v>
      </c>
      <c r="E18" s="6" t="s">
        <v>39</v>
      </c>
      <c r="F18" s="17" t="s">
        <v>45</v>
      </c>
      <c r="G18" s="7">
        <v>2803.1</v>
      </c>
      <c r="H18" s="7">
        <f t="shared" si="5"/>
        <v>30172.288089999998</v>
      </c>
      <c r="I18" s="8">
        <v>2021</v>
      </c>
      <c r="J18" s="32">
        <v>3300</v>
      </c>
      <c r="K18" s="32">
        <f t="shared" si="0"/>
        <v>99568550.696999997</v>
      </c>
      <c r="L18" s="32">
        <f t="shared" si="6"/>
        <v>1576502.0527025</v>
      </c>
      <c r="M18" s="32">
        <f t="shared" si="7"/>
        <v>97992048.644297495</v>
      </c>
      <c r="N18" s="32">
        <v>12000</v>
      </c>
      <c r="O18" s="32">
        <f t="shared" si="1"/>
        <v>33637200</v>
      </c>
    </row>
    <row r="19" spans="4:17" ht="15.75" thickBot="1" x14ac:dyDescent="0.3">
      <c r="D19" s="14">
        <f t="shared" si="2"/>
        <v>11</v>
      </c>
      <c r="E19" s="6" t="s">
        <v>39</v>
      </c>
      <c r="F19" s="17" t="s">
        <v>50</v>
      </c>
      <c r="G19" s="7">
        <v>2085.2800000000002</v>
      </c>
      <c r="H19" s="7">
        <f t="shared" si="5"/>
        <v>22445.745392000001</v>
      </c>
      <c r="I19" s="8">
        <v>2021</v>
      </c>
      <c r="J19" s="32">
        <v>3300</v>
      </c>
      <c r="K19" s="32">
        <f t="shared" si="0"/>
        <v>74070959.793600008</v>
      </c>
      <c r="L19" s="32">
        <f t="shared" si="6"/>
        <v>1172790.196732</v>
      </c>
      <c r="M19" s="32">
        <f t="shared" si="7"/>
        <v>72898169.596868008</v>
      </c>
      <c r="N19" s="32">
        <v>12000</v>
      </c>
      <c r="O19" s="32">
        <f t="shared" si="1"/>
        <v>25023360.000000004</v>
      </c>
    </row>
    <row r="20" spans="4:17" ht="15.75" thickBot="1" x14ac:dyDescent="0.3">
      <c r="D20" s="14">
        <f t="shared" si="2"/>
        <v>12</v>
      </c>
      <c r="E20" s="6" t="s">
        <v>46</v>
      </c>
      <c r="F20" s="17" t="s">
        <v>71</v>
      </c>
      <c r="G20" s="57">
        <v>250000</v>
      </c>
      <c r="H20" s="58"/>
      <c r="I20" s="8">
        <v>2021</v>
      </c>
      <c r="J20" s="32">
        <v>20</v>
      </c>
      <c r="K20" s="32">
        <f>J20*G20</f>
        <v>5000000</v>
      </c>
      <c r="L20" s="32">
        <f t="shared" si="6"/>
        <v>79166.666666666672</v>
      </c>
      <c r="M20" s="32">
        <f t="shared" si="7"/>
        <v>4920833.333333333</v>
      </c>
      <c r="N20" s="32">
        <v>0</v>
      </c>
      <c r="O20" s="32">
        <f t="shared" si="1"/>
        <v>0</v>
      </c>
    </row>
    <row r="21" spans="4:17" ht="30.75" thickBot="1" x14ac:dyDescent="0.3">
      <c r="D21" s="14">
        <f t="shared" si="2"/>
        <v>13</v>
      </c>
      <c r="E21" s="6"/>
      <c r="F21" s="17" t="s">
        <v>72</v>
      </c>
      <c r="G21" s="57">
        <v>20000</v>
      </c>
      <c r="H21" s="58"/>
      <c r="I21" s="8">
        <v>2021</v>
      </c>
      <c r="J21" s="32">
        <v>40</v>
      </c>
      <c r="K21" s="32">
        <f>J21*G21</f>
        <v>800000</v>
      </c>
      <c r="L21" s="32">
        <f t="shared" si="6"/>
        <v>12666.666666666666</v>
      </c>
      <c r="M21" s="32">
        <f t="shared" si="7"/>
        <v>787333.33333333337</v>
      </c>
      <c r="N21" s="32">
        <v>0</v>
      </c>
      <c r="O21" s="32">
        <f t="shared" si="1"/>
        <v>0</v>
      </c>
    </row>
    <row r="22" spans="4:17" ht="15.75" thickBot="1" x14ac:dyDescent="0.3">
      <c r="D22" s="54" t="s">
        <v>70</v>
      </c>
      <c r="E22" s="55"/>
      <c r="F22" s="56"/>
      <c r="G22" s="37">
        <f>SUM(G8:G19)</f>
        <v>38056.01999999999</v>
      </c>
      <c r="H22" s="37">
        <f>SUM(H8:H19)</f>
        <v>409631.19367800001</v>
      </c>
      <c r="I22" s="38"/>
      <c r="J22" s="39"/>
      <c r="K22" s="39">
        <f>SUM(K8:K21)</f>
        <v>1320089562.9346001</v>
      </c>
      <c r="L22" s="39">
        <f>SUM(L8:L21)</f>
        <v>20901418.079797838</v>
      </c>
      <c r="M22" s="39">
        <f>SUM(M8:M21)</f>
        <v>1299188144.8548021</v>
      </c>
      <c r="N22" s="39"/>
      <c r="O22" s="39">
        <f>SUM(O8:O21)</f>
        <v>456672240</v>
      </c>
    </row>
    <row r="23" spans="4:17" x14ac:dyDescent="0.25">
      <c r="M23" s="33">
        <f>P3</f>
        <v>257350000</v>
      </c>
    </row>
    <row r="25" spans="4:17" ht="15.75" thickBot="1" x14ac:dyDescent="0.3"/>
    <row r="26" spans="4:17" ht="15.75" thickBot="1" x14ac:dyDescent="0.3">
      <c r="H26" s="27">
        <f>K26/J26</f>
        <v>21666.666666666668</v>
      </c>
      <c r="J26" s="27">
        <v>300</v>
      </c>
      <c r="K26" s="27">
        <f>65*10^5</f>
        <v>6500000</v>
      </c>
      <c r="M26" s="42">
        <f>P3</f>
        <v>257350000</v>
      </c>
    </row>
    <row r="27" spans="4:17" ht="15.75" thickBot="1" x14ac:dyDescent="0.3">
      <c r="H27" s="27">
        <f>K27/J27</f>
        <v>17500</v>
      </c>
      <c r="J27" s="27">
        <v>200</v>
      </c>
      <c r="K27" s="27">
        <v>3500000</v>
      </c>
      <c r="M27" s="43">
        <f>M22</f>
        <v>1299188144.8548021</v>
      </c>
      <c r="P27">
        <v>28.5</v>
      </c>
    </row>
    <row r="28" spans="4:17" ht="15.75" thickBot="1" x14ac:dyDescent="0.3">
      <c r="H28" s="27">
        <f>K28/J28</f>
        <v>26666.666666666668</v>
      </c>
      <c r="J28" s="27">
        <v>150</v>
      </c>
      <c r="K28" s="27">
        <v>4000000</v>
      </c>
      <c r="M28" s="43">
        <v>21200000</v>
      </c>
      <c r="P28">
        <v>19.7</v>
      </c>
    </row>
    <row r="29" spans="4:17" ht="15.75" thickBot="1" x14ac:dyDescent="0.3">
      <c r="K29" s="27">
        <f>SUM(K26:K28)</f>
        <v>14000000</v>
      </c>
      <c r="M29" s="43">
        <v>188363370</v>
      </c>
      <c r="P29">
        <v>19.5</v>
      </c>
    </row>
    <row r="30" spans="4:17" x14ac:dyDescent="0.25">
      <c r="M30" s="27">
        <f>SUM(M26:M29)</f>
        <v>1766101514.8548021</v>
      </c>
      <c r="N30" s="36">
        <f>M30/263</f>
        <v>6715214.8853794755</v>
      </c>
      <c r="P30" s="40">
        <v>0.67700000000000005</v>
      </c>
      <c r="Q30">
        <v>1.62</v>
      </c>
    </row>
    <row r="31" spans="4:17" x14ac:dyDescent="0.25">
      <c r="K31" s="27">
        <v>699712200</v>
      </c>
      <c r="M31" s="27">
        <v>1970000000</v>
      </c>
      <c r="Q31">
        <f>Q30*10^7</f>
        <v>16200000.000000002</v>
      </c>
    </row>
    <row r="32" spans="4:17" x14ac:dyDescent="0.25">
      <c r="K32" s="44">
        <f>K31/M31</f>
        <v>0.35518385786802031</v>
      </c>
      <c r="M32" s="27">
        <f>M31*0.85</f>
        <v>1674500000</v>
      </c>
      <c r="Q32" s="27">
        <f>Q31*P30</f>
        <v>10967400.000000002</v>
      </c>
    </row>
    <row r="33" spans="8:17" x14ac:dyDescent="0.25">
      <c r="M33" s="27">
        <f>M31*0.75</f>
        <v>1477500000</v>
      </c>
      <c r="Q33" s="41">
        <f>Q32*263</f>
        <v>2884426200.0000005</v>
      </c>
    </row>
    <row r="34" spans="8:17" x14ac:dyDescent="0.25">
      <c r="H34">
        <v>17216</v>
      </c>
    </row>
    <row r="35" spans="8:17" x14ac:dyDescent="0.25">
      <c r="H35" s="27">
        <f>H34/4047</f>
        <v>4.2540153199901161</v>
      </c>
    </row>
    <row r="36" spans="8:17" x14ac:dyDescent="0.25">
      <c r="H36" s="27">
        <f>H35*5000000</f>
        <v>21270076.599950582</v>
      </c>
    </row>
    <row r="37" spans="8:17" x14ac:dyDescent="0.25">
      <c r="H37" s="16">
        <f>H36/10^7</f>
        <v>2.127007659995058</v>
      </c>
    </row>
  </sheetData>
  <mergeCells count="7">
    <mergeCell ref="D22:F22"/>
    <mergeCell ref="D6:D7"/>
    <mergeCell ref="E6:E7"/>
    <mergeCell ref="F6:F7"/>
    <mergeCell ref="I6:I7"/>
    <mergeCell ref="G20:H20"/>
    <mergeCell ref="G21:H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K22"/>
  <sheetViews>
    <sheetView topLeftCell="F1" workbookViewId="0">
      <selection activeCell="J20" sqref="J20"/>
    </sheetView>
  </sheetViews>
  <sheetFormatPr defaultRowHeight="15" x14ac:dyDescent="0.25"/>
  <cols>
    <col min="5" max="5" width="10.140625" bestFit="1" customWidth="1"/>
    <col min="6" max="6" width="13.85546875" bestFit="1" customWidth="1"/>
    <col min="7" max="7" width="17.5703125" style="27" bestFit="1" customWidth="1"/>
    <col min="8" max="8" width="17.5703125" style="1" customWidth="1"/>
    <col min="9" max="9" width="10.42578125" bestFit="1" customWidth="1"/>
    <col min="10" max="10" width="30.7109375" customWidth="1"/>
    <col min="11" max="11" width="10.42578125" bestFit="1" customWidth="1"/>
  </cols>
  <sheetData>
    <row r="5" spans="4:11" x14ac:dyDescent="0.25">
      <c r="D5" s="10" t="s">
        <v>54</v>
      </c>
      <c r="E5" s="10" t="s">
        <v>55</v>
      </c>
      <c r="F5" s="10" t="s">
        <v>56</v>
      </c>
      <c r="G5" s="25" t="s">
        <v>57</v>
      </c>
      <c r="H5" s="24" t="s">
        <v>60</v>
      </c>
      <c r="I5" s="10" t="s">
        <v>58</v>
      </c>
      <c r="J5" s="10" t="s">
        <v>59</v>
      </c>
    </row>
    <row r="6" spans="4:11" ht="45" x14ac:dyDescent="0.25">
      <c r="D6" s="5">
        <v>1</v>
      </c>
      <c r="E6" s="5">
        <v>1</v>
      </c>
      <c r="F6" s="5">
        <v>1296</v>
      </c>
      <c r="G6" s="26">
        <v>2000000</v>
      </c>
      <c r="H6" s="12">
        <v>0.31259999999999999</v>
      </c>
      <c r="I6" s="4">
        <v>40779</v>
      </c>
      <c r="J6" s="13" t="s">
        <v>61</v>
      </c>
      <c r="K6" s="11">
        <v>44247</v>
      </c>
    </row>
    <row r="7" spans="4:11" ht="60" x14ac:dyDescent="0.25">
      <c r="D7" s="5">
        <v>2</v>
      </c>
      <c r="E7" s="5">
        <v>2</v>
      </c>
      <c r="F7" s="5">
        <v>1360</v>
      </c>
      <c r="G7" s="26">
        <v>400000</v>
      </c>
      <c r="H7" s="12">
        <v>2.5000000000000001E-2</v>
      </c>
      <c r="I7" s="4">
        <v>40788</v>
      </c>
      <c r="J7" s="13" t="s">
        <v>62</v>
      </c>
    </row>
    <row r="8" spans="4:11" ht="60" x14ac:dyDescent="0.25">
      <c r="D8" s="5">
        <v>3</v>
      </c>
      <c r="E8" s="5">
        <v>3</v>
      </c>
      <c r="F8" s="5">
        <v>1305</v>
      </c>
      <c r="G8" s="26">
        <v>28000000</v>
      </c>
      <c r="H8" s="12">
        <v>1.3839999999999999</v>
      </c>
      <c r="I8" s="4">
        <v>40780</v>
      </c>
      <c r="J8" s="13" t="s">
        <v>63</v>
      </c>
    </row>
    <row r="9" spans="4:11" x14ac:dyDescent="0.25">
      <c r="G9" s="27">
        <f>SUM(G6:G8)</f>
        <v>30400000</v>
      </c>
      <c r="H9" s="1">
        <f>SUM(H6:H8)</f>
        <v>1.7216</v>
      </c>
    </row>
    <row r="10" spans="4:11" x14ac:dyDescent="0.25">
      <c r="H10" s="1">
        <f>H9*2.471</f>
        <v>4.2540735999999999</v>
      </c>
    </row>
    <row r="11" spans="4:11" x14ac:dyDescent="0.25">
      <c r="H11" s="27">
        <f>H10*5000000</f>
        <v>21270368</v>
      </c>
    </row>
    <row r="14" spans="4:11" x14ac:dyDescent="0.25">
      <c r="J14" s="27"/>
    </row>
    <row r="15" spans="4:11" x14ac:dyDescent="0.25">
      <c r="J15" s="27"/>
    </row>
    <row r="16" spans="4:11" x14ac:dyDescent="0.25">
      <c r="J16" s="27"/>
    </row>
    <row r="17" spans="10:10" x14ac:dyDescent="0.25">
      <c r="J17" s="27"/>
    </row>
    <row r="18" spans="10:10" x14ac:dyDescent="0.25">
      <c r="J18" s="27">
        <v>20000</v>
      </c>
    </row>
    <row r="19" spans="10:10" x14ac:dyDescent="0.25">
      <c r="J19" s="27">
        <v>5000</v>
      </c>
    </row>
    <row r="20" spans="10:10" x14ac:dyDescent="0.25">
      <c r="J20" s="28">
        <v>20588.61</v>
      </c>
    </row>
    <row r="21" spans="10:10" x14ac:dyDescent="0.25">
      <c r="J21" s="27">
        <f>J20*J19</f>
        <v>102943050</v>
      </c>
    </row>
    <row r="22" spans="10:10" x14ac:dyDescent="0.25">
      <c r="J22" s="2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P&amp;M </vt:lpstr>
      <vt:lpstr>Approvals and NOC</vt:lpstr>
      <vt:lpstr>Trademark License Agreements</vt:lpstr>
      <vt:lpstr>Building Sheet</vt:lpstr>
      <vt:lpstr>Sheet2</vt:lpstr>
      <vt:lpstr>Sale deed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Biyani</dc:creator>
  <cp:lastModifiedBy>Abhishek Sharma</cp:lastModifiedBy>
  <dcterms:created xsi:type="dcterms:W3CDTF">2022-09-23T11:42:15Z</dcterms:created>
  <dcterms:modified xsi:type="dcterms:W3CDTF">2022-11-22T12:23:31Z</dcterms:modified>
</cp:coreProperties>
</file>