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engineer4\Desktop\uploads\VIS(2022-23)-PL441-350-625\Report_working\"/>
    </mc:Choice>
  </mc:AlternateContent>
  <xr:revisionPtr revIDLastSave="0" documentId="13_ncr:1_{C637CFCE-15F6-4FC1-8425-FBCC154BF1FA}" xr6:coauthVersionLast="47" xr6:coauthVersionMax="47" xr10:uidLastSave="{00000000-0000-0000-0000-000000000000}"/>
  <bookViews>
    <workbookView xWindow="-120" yWindow="-120" windowWidth="21840" windowHeight="13140" xr2:uid="{00000000-000D-0000-FFFF-FFFF00000000}"/>
  </bookViews>
  <sheets>
    <sheet name="working" sheetId="2" r:id="rId1"/>
    <sheet name="Sheet2" sheetId="3" r:id="rId2"/>
    <sheet name="Sheet3" sheetId="4"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9" i="2" l="1"/>
  <c r="M20" i="2"/>
  <c r="D20" i="2"/>
  <c r="E19" i="2"/>
  <c r="J20" i="2"/>
  <c r="I8" i="2"/>
  <c r="Q8" i="2" s="1"/>
  <c r="I7" i="2"/>
  <c r="Q7" i="2" s="1"/>
  <c r="I6" i="2"/>
  <c r="Q6" i="2" s="1"/>
  <c r="I4" i="2"/>
  <c r="I5" i="2" s="1"/>
  <c r="AB5" i="2"/>
  <c r="AC5" i="2" s="1"/>
  <c r="AA12" i="2"/>
  <c r="Q4" i="2" l="1"/>
  <c r="Q5" i="2"/>
  <c r="I9" i="2"/>
  <c r="I18" i="2" s="1"/>
  <c r="AB6" i="2"/>
  <c r="AB7" i="2" s="1"/>
  <c r="X8" i="2"/>
  <c r="G5" i="2"/>
  <c r="G6" i="2"/>
  <c r="G7" i="2"/>
  <c r="G8" i="2"/>
  <c r="G4" i="2"/>
  <c r="D21" i="2" l="1"/>
  <c r="G23" i="2"/>
  <c r="G21" i="2"/>
  <c r="G24" i="2" l="1"/>
  <c r="Z6" i="2"/>
  <c r="AA8" i="2" l="1"/>
  <c r="O5" i="2"/>
  <c r="O6" i="2"/>
  <c r="O7" i="2"/>
  <c r="O8" i="2"/>
  <c r="O4" i="2"/>
  <c r="L5" i="2"/>
  <c r="L6" i="2"/>
  <c r="L7" i="2"/>
  <c r="L8" i="2"/>
  <c r="L4" i="2"/>
  <c r="R7" i="2" l="1"/>
  <c r="S7" i="2" s="1"/>
  <c r="U7" i="2" s="1"/>
  <c r="G9" i="2"/>
  <c r="R6" i="2"/>
  <c r="S6" i="2" s="1"/>
  <c r="U6" i="2" s="1"/>
  <c r="R8" i="2"/>
  <c r="S8" i="2" s="1"/>
  <c r="U8" i="2" s="1"/>
  <c r="R5" i="2"/>
  <c r="S5" i="2" s="1"/>
  <c r="U5" i="2" s="1"/>
  <c r="M6" i="4"/>
  <c r="K5" i="4"/>
  <c r="I5" i="4"/>
  <c r="F6" i="4"/>
  <c r="D4" i="4"/>
  <c r="H9" i="2" l="1"/>
  <c r="I3" i="3"/>
  <c r="G3" i="3"/>
  <c r="D3" i="3"/>
  <c r="J23" i="2" l="1"/>
  <c r="J24" i="2" s="1"/>
  <c r="J21" i="2"/>
  <c r="R4" i="2"/>
  <c r="S4" i="2" s="1"/>
  <c r="Q9" i="2"/>
  <c r="J3" i="3"/>
  <c r="K3" i="3" s="1"/>
  <c r="M3" i="3" s="1"/>
  <c r="U4" i="2" l="1"/>
  <c r="U9" i="2" s="1"/>
  <c r="S9" i="2"/>
  <c r="W9" i="2" l="1"/>
</calcChain>
</file>

<file path=xl/sharedStrings.xml><?xml version="1.0" encoding="utf-8"?>
<sst xmlns="http://schemas.openxmlformats.org/spreadsheetml/2006/main" count="62" uniqueCount="48">
  <si>
    <t>SR. No.</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</si>
  <si>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</si>
  <si>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</si>
  <si>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</si>
  <si>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</si>
  <si>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</si>
  <si>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</si>
  <si>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</si>
  <si>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</si>
  <si>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</si>
  <si>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</si>
  <si>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</si>
  <si>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TOTAL</t>
  </si>
  <si>
    <t>Remarks:</t>
  </si>
  <si>
    <t>3. The valuation is done by considering the depreciated replacement cost approach.</t>
  </si>
  <si>
    <t>Detoration</t>
  </si>
  <si>
    <t>CoveredArea 
(in sq ft)</t>
  </si>
  <si>
    <t>Details of Building</t>
  </si>
  <si>
    <t>Floor</t>
  </si>
  <si>
    <t>Ground Floor</t>
  </si>
  <si>
    <t>Covered Area (in sq.mtr)</t>
  </si>
  <si>
    <t>2.The subject property is consturcted with different type of structures..</t>
  </si>
  <si>
    <t>Boundary wall valuation</t>
  </si>
  <si>
    <r>
      <t xml:space="preserve">Wall
</t>
    </r>
    <r>
      <rPr>
        <b/>
        <i/>
        <sz val="10"/>
        <rFont val="Calibri"/>
        <family val="2"/>
        <scheme val="minor"/>
      </rPr>
      <t>(in Running ft.)As per approved plan approx.</t>
    </r>
  </si>
  <si>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</si>
  <si>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</si>
  <si>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</si>
  <si>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</si>
  <si>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</si>
  <si>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t>RCC framed pillar beam column on RCC slab</t>
  </si>
  <si>
    <t>Main Building</t>
  </si>
  <si>
    <t>First Floor</t>
  </si>
  <si>
    <t>Main Building Office Area</t>
  </si>
  <si>
    <t>Second Floor</t>
  </si>
  <si>
    <t xml:space="preserve">BUILDING VALUATION OF PROPERTY OF M/S. MICRO TOOLS INDIA PRIVATE LIMITED | SITUATED AT INDUSTRIAL PLOT NO.38, SECTOR 24, INDUSTRIAL ESTATE, FARIDABAD, HARYANA
</t>
  </si>
  <si>
    <t>Main Building Labour Room</t>
  </si>
  <si>
    <t>Brick wall Tin Shed</t>
  </si>
  <si>
    <t>, Iron Pillar Truss</t>
  </si>
  <si>
    <t>Brick wall,  ACC Shed</t>
  </si>
  <si>
    <t>Iron Pillar Truss</t>
  </si>
  <si>
    <t>Permissible Covered area (in sq.ft)</t>
  </si>
  <si>
    <t>No Boundary Wall considered .</t>
  </si>
  <si>
    <t>5.We have taken the year of construction from information provided to us during the survey.</t>
  </si>
  <si>
    <t xml:space="preserve">6.As per our site survey we have observed the maintenance of the building is average . </t>
  </si>
  <si>
    <t xml:space="preserve">7.We have not provided the sanctioned bulding map of the plant.Therfore, As per site measurement during the survey the ground coverage of the building was more than the permissible area as per building bye laws of Haryana.And the covered area considered for the valuation i.e 10,110 sq.ft as per the building bye laws only. </t>
  </si>
  <si>
    <t>Height (in ft)</t>
  </si>
  <si>
    <t>4.Since no relevant documents have been provided to us regarding the age of the building, therfore we have considered 2007 as the year of construction which was told to us during our site visit.</t>
  </si>
  <si>
    <t>1. All the details pertaing to the building area statement such as area, floor, etc have been measured on site since no relevant document of the same have been provided to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</si>
</sst>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 numFmtId="167"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i/>
      <sz val="10"/>
      <color theme="1"/>
      <name val="Calibri"/>
      <family val="2"/>
      <scheme val="minor"/>
    </font>
  </fonts>
  <fills count="6">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9">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1"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165" fontId="0" fillId="0" borderId="0" xfId="0" applyNumberFormat="1"/>
    <xf numFmtId="43" fontId="0" fillId="0" borderId="0" xfId="0" applyNumberFormat="1"/>
    <xf numFmtId="43" fontId="0" fillId="0" borderId="1" xfId="6" applyFont="1" applyBorder="1" applyAlignment="1">
      <alignment horizontal="center" vertical="center" wrapText="1"/>
    </xf>
    <xf numFmtId="166" fontId="0" fillId="0" borderId="0" xfId="6" applyNumberFormat="1" applyFont="1"/>
    <xf numFmtId="0" fontId="5"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0" borderId="1" xfId="2" applyFont="1" applyBorder="1" applyAlignment="1">
      <alignment horizontal="center" vertical="center"/>
    </xf>
    <xf numFmtId="9" fontId="0" fillId="5" borderId="1" xfId="2" applyFont="1" applyFill="1" applyBorder="1" applyAlignment="1">
      <alignment horizontal="center" vertical="center" wrapText="1"/>
    </xf>
    <xf numFmtId="165" fontId="0" fillId="5" borderId="1" xfId="1" applyNumberFormat="1" applyFont="1" applyFill="1" applyBorder="1" applyAlignment="1">
      <alignment horizontal="center" vertical="center" wrapText="1"/>
    </xf>
    <xf numFmtId="166" fontId="0" fillId="0" borderId="1" xfId="6" applyNumberFormat="1" applyFont="1" applyBorder="1" applyAlignment="1">
      <alignment horizontal="center" vertical="center" wrapText="1"/>
    </xf>
    <xf numFmtId="166" fontId="2" fillId="0" borderId="1" xfId="6" applyNumberFormat="1" applyFont="1" applyBorder="1" applyAlignment="1">
      <alignment horizontal="right" vertical="center" wrapText="1"/>
    </xf>
    <xf numFmtId="166" fontId="2" fillId="0" borderId="1" xfId="6" applyNumberFormat="1" applyFont="1" applyBorder="1" applyAlignment="1">
      <alignment horizontal="center" vertical="center" wrapText="1"/>
    </xf>
    <xf numFmtId="166" fontId="0" fillId="0" borderId="0" xfId="0" applyNumberFormat="1"/>
    <xf numFmtId="9" fontId="0" fillId="0" borderId="0" xfId="2" applyFont="1"/>
    <xf numFmtId="167" fontId="0" fillId="0" borderId="0" xfId="2" applyNumberFormat="1" applyFont="1"/>
    <xf numFmtId="0" fontId="3" fillId="3" borderId="2" xfId="0" applyFont="1" applyFill="1" applyBorder="1" applyAlignment="1">
      <alignment horizont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3" fillId="3" borderId="2" xfId="0" applyFont="1" applyFill="1" applyBorder="1" applyAlignment="1">
      <alignment horizontal="center" vertical="center" wrapText="1"/>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cellXfs>
  <cellStyles count="13">
    <cellStyle name="40% - Accent1" xfId="3" builtinId="31"/>
    <cellStyle name="Comma" xfId="6" builtinId="3"/>
    <cellStyle name="Comma 2" xfId="4" xr:uid="{00000000-0005-0000-0000-000002000000}"/>
    <cellStyle name="Comma 2 2" xfId="10" xr:uid="{00000000-0005-0000-0000-000003000000}"/>
    <cellStyle name="Comma 3" xfId="12" xr:uid="{00000000-0005-0000-0000-000004000000}"/>
    <cellStyle name="Comma 4" xfId="8" xr:uid="{00000000-0005-0000-0000-000005000000}"/>
    <cellStyle name="Currency" xfId="1" builtinId="4"/>
    <cellStyle name="Currency 2" xfId="5" xr:uid="{00000000-0005-0000-0000-000007000000}"/>
    <cellStyle name="Currency 2 2" xfId="9" xr:uid="{00000000-0005-0000-0000-000008000000}"/>
    <cellStyle name="Currency 3" xfId="11" xr:uid="{00000000-0005-0000-0000-000009000000}"/>
    <cellStyle name="Currency 4" xfId="7" xr:uid="{00000000-0005-0000-0000-00000A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25"/>
  <sheetViews>
    <sheetView tabSelected="1" topLeftCell="A3" workbookViewId="0">
      <selection activeCell="B10" sqref="B10:U10"/>
    </sheetView>
  </sheetViews>
  <sheetFormatPr defaultRowHeight="15" x14ac:dyDescent="0.25"/>
  <cols>
    <col min="2" max="2" width="7.28515625" customWidth="1"/>
    <col min="3" max="3" width="17.42578125" bestFit="1" customWidth="1"/>
    <col min="4" max="4" width="12.5703125" bestFit="1" customWidth="1"/>
    <col min="5" max="5" width="9" bestFit="1" customWidth="1"/>
    <col min="6" max="6" width="22.140625" bestFit="1" customWidth="1"/>
    <col min="7" max="7" width="11.5703125" hidden="1" customWidth="1"/>
    <col min="8" max="8" width="8.42578125" bestFit="1" customWidth="1"/>
    <col min="9" max="9" width="11.42578125" customWidth="1"/>
    <col min="10" max="10" width="13" customWidth="1"/>
    <col min="11" max="11" width="11.85546875" customWidth="1"/>
    <col min="12" max="12" width="10.42578125" hidden="1" customWidth="1"/>
    <col min="13" max="13" width="9.42578125" hidden="1" customWidth="1"/>
    <col min="14" max="14" width="7.7109375" hidden="1" customWidth="1"/>
    <col min="15" max="15" width="6.140625" hidden="1" customWidth="1"/>
    <col min="16" max="16" width="11.85546875" customWidth="1"/>
    <col min="17" max="17" width="13.28515625" customWidth="1"/>
    <col min="18" max="18" width="11.5703125" customWidth="1"/>
    <col min="19" max="19" width="11.85546875" hidden="1" customWidth="1"/>
    <col min="20" max="20" width="8.28515625" hidden="1" customWidth="1"/>
    <col min="21" max="21" width="18.5703125" customWidth="1"/>
    <col min="22" max="22" width="9.140625" customWidth="1"/>
    <col min="23" max="23" width="5.85546875" bestFit="1" customWidth="1"/>
    <col min="24" max="24" width="15.7109375" bestFit="1" customWidth="1"/>
    <col min="26" max="26" width="3" bestFit="1" customWidth="1"/>
    <col min="27" max="29" width="9" bestFit="1" customWidth="1"/>
  </cols>
  <sheetData>
    <row r="2" spans="2:29" ht="60.75" customHeight="1" x14ac:dyDescent="0.25">
      <c r="B2" s="28" t="s">
        <v>34</v>
      </c>
      <c r="C2" s="28"/>
      <c r="D2" s="28"/>
      <c r="E2" s="28"/>
      <c r="F2" s="28"/>
      <c r="G2" s="28"/>
      <c r="H2" s="28"/>
      <c r="I2" s="28"/>
      <c r="J2" s="28"/>
      <c r="K2" s="28"/>
      <c r="L2" s="28"/>
      <c r="M2" s="28"/>
      <c r="N2" s="28"/>
      <c r="O2" s="28"/>
      <c r="P2" s="28"/>
      <c r="Q2" s="28"/>
      <c r="R2" s="28"/>
      <c r="S2" s="28"/>
      <c r="T2" s="28"/>
      <c r="U2" s="28"/>
    </row>
    <row r="3" spans="2:29" ht="60" x14ac:dyDescent="0.25">
      <c r="B3" s="1" t="s">
        <v>0</v>
      </c>
      <c r="C3" s="1" t="s">
        <v>17</v>
      </c>
      <c r="D3" s="1" t="s">
        <v>18</v>
      </c>
      <c r="E3" s="1" t="s">
        <v>45</v>
      </c>
      <c r="F3" s="1" t="s">
        <v>1</v>
      </c>
      <c r="G3" s="1" t="s">
        <v>20</v>
      </c>
      <c r="H3" s="1" t="s">
        <v>16</v>
      </c>
      <c r="I3" s="1" t="s">
        <v>40</v>
      </c>
      <c r="J3" s="1" t="s">
        <v>24</v>
      </c>
      <c r="K3" s="1" t="s">
        <v>2</v>
      </c>
      <c r="L3" s="1" t="s">
        <v>3</v>
      </c>
      <c r="M3" s="1" t="s">
        <v>4</v>
      </c>
      <c r="N3" s="1" t="s">
        <v>5</v>
      </c>
      <c r="O3" s="1" t="s">
        <v>6</v>
      </c>
      <c r="P3" s="1" t="s">
        <v>7</v>
      </c>
      <c r="Q3" s="1" t="s">
        <v>8</v>
      </c>
      <c r="R3" s="1" t="s">
        <v>9</v>
      </c>
      <c r="S3" s="1" t="s">
        <v>10</v>
      </c>
      <c r="T3" s="2" t="s">
        <v>15</v>
      </c>
      <c r="U3" s="1" t="s">
        <v>11</v>
      </c>
      <c r="X3" t="s">
        <v>37</v>
      </c>
    </row>
    <row r="4" spans="2:29" ht="30" x14ac:dyDescent="0.25">
      <c r="B4" s="3">
        <v>1</v>
      </c>
      <c r="C4" s="3" t="s">
        <v>30</v>
      </c>
      <c r="D4" s="3" t="s">
        <v>19</v>
      </c>
      <c r="E4" s="3">
        <v>10</v>
      </c>
      <c r="F4" s="3" t="s">
        <v>29</v>
      </c>
      <c r="G4" s="11">
        <f>H4/10.7639</f>
        <v>399.48345859772019</v>
      </c>
      <c r="H4" s="22">
        <v>4300</v>
      </c>
      <c r="I4" s="22">
        <f>H4</f>
        <v>4300</v>
      </c>
      <c r="J4" s="3">
        <v>2007</v>
      </c>
      <c r="K4" s="3">
        <v>2022</v>
      </c>
      <c r="L4" s="3">
        <f t="shared" ref="L4:L8" si="0">K4-J4</f>
        <v>15</v>
      </c>
      <c r="M4" s="3">
        <v>60</v>
      </c>
      <c r="N4" s="4">
        <v>0.1</v>
      </c>
      <c r="O4" s="5">
        <f t="shared" ref="O4:O8" si="1">(1-N4)/M4</f>
        <v>1.5000000000000001E-2</v>
      </c>
      <c r="P4" s="6">
        <v>1200</v>
      </c>
      <c r="Q4" s="6">
        <f>P4*I4</f>
        <v>5160000</v>
      </c>
      <c r="R4" s="6">
        <f t="shared" ref="R4:R8" si="2">Q4*O4*L4</f>
        <v>1161000</v>
      </c>
      <c r="S4" s="6">
        <f t="shared" ref="S4:S8" si="3">MAX(Q4-R4,0)</f>
        <v>3999000</v>
      </c>
      <c r="T4" s="20">
        <v>0</v>
      </c>
      <c r="U4" s="21">
        <f t="shared" ref="U4:U8" si="4">IF(S4&gt;N4*Q4,S4*(1-T4),Q4*N4)</f>
        <v>3999000</v>
      </c>
      <c r="X4" t="s">
        <v>39</v>
      </c>
      <c r="AB4">
        <v>1288.8800000000001</v>
      </c>
    </row>
    <row r="5" spans="2:29" x14ac:dyDescent="0.25">
      <c r="B5" s="3">
        <v>2</v>
      </c>
      <c r="C5" s="3" t="s">
        <v>30</v>
      </c>
      <c r="D5" s="3" t="s">
        <v>19</v>
      </c>
      <c r="E5" s="3">
        <v>35</v>
      </c>
      <c r="F5" s="3" t="s">
        <v>36</v>
      </c>
      <c r="G5" s="11">
        <f t="shared" ref="G5:G8" si="5">H5/10.7639</f>
        <v>815.68948057860075</v>
      </c>
      <c r="H5" s="22">
        <v>8780</v>
      </c>
      <c r="I5" s="22">
        <f>6959.95-I4</f>
        <v>2659.95</v>
      </c>
      <c r="J5" s="3">
        <v>2007</v>
      </c>
      <c r="K5" s="3">
        <v>2022</v>
      </c>
      <c r="L5" s="3">
        <f t="shared" si="0"/>
        <v>15</v>
      </c>
      <c r="M5" s="3">
        <v>35</v>
      </c>
      <c r="N5" s="4">
        <v>0.1</v>
      </c>
      <c r="O5" s="5">
        <f t="shared" si="1"/>
        <v>2.5714285714285714E-2</v>
      </c>
      <c r="P5" s="6">
        <v>800</v>
      </c>
      <c r="Q5" s="6">
        <f t="shared" ref="Q5:Q8" si="6">P5*I5</f>
        <v>2127960</v>
      </c>
      <c r="R5" s="6">
        <f t="shared" si="2"/>
        <v>820784.57142857148</v>
      </c>
      <c r="S5" s="6">
        <f t="shared" si="3"/>
        <v>1307175.4285714286</v>
      </c>
      <c r="T5" s="20">
        <v>0</v>
      </c>
      <c r="U5" s="21">
        <f t="shared" si="4"/>
        <v>1307175.4285714286</v>
      </c>
      <c r="AB5">
        <f>AB4*9</f>
        <v>11599.920000000002</v>
      </c>
      <c r="AC5">
        <f>AB5*1.5</f>
        <v>17399.880000000005</v>
      </c>
    </row>
    <row r="6" spans="2:29" ht="30" x14ac:dyDescent="0.25">
      <c r="B6" s="3">
        <v>3</v>
      </c>
      <c r="C6" s="3" t="s">
        <v>30</v>
      </c>
      <c r="D6" s="3" t="s">
        <v>31</v>
      </c>
      <c r="E6" s="3">
        <v>10</v>
      </c>
      <c r="F6" s="3" t="s">
        <v>29</v>
      </c>
      <c r="G6" s="11">
        <f t="shared" si="5"/>
        <v>176.14433430262267</v>
      </c>
      <c r="H6" s="22">
        <v>1896</v>
      </c>
      <c r="I6" s="22">
        <f>H6</f>
        <v>1896</v>
      </c>
      <c r="J6" s="3">
        <v>2007</v>
      </c>
      <c r="K6" s="3">
        <v>2022</v>
      </c>
      <c r="L6" s="3">
        <f t="shared" si="0"/>
        <v>15</v>
      </c>
      <c r="M6" s="3">
        <v>60</v>
      </c>
      <c r="N6" s="4">
        <v>0.1</v>
      </c>
      <c r="O6" s="5">
        <f t="shared" si="1"/>
        <v>1.5000000000000001E-2</v>
      </c>
      <c r="P6" s="6">
        <v>1200</v>
      </c>
      <c r="Q6" s="6">
        <f t="shared" si="6"/>
        <v>2275200</v>
      </c>
      <c r="R6" s="6">
        <f t="shared" si="2"/>
        <v>511920</v>
      </c>
      <c r="S6" s="6">
        <f t="shared" si="3"/>
        <v>1763280</v>
      </c>
      <c r="T6" s="20">
        <v>0</v>
      </c>
      <c r="U6" s="21">
        <f t="shared" si="4"/>
        <v>1763280</v>
      </c>
      <c r="Z6">
        <f>65-28</f>
        <v>37</v>
      </c>
      <c r="AB6">
        <f>AB5*0.6</f>
        <v>6959.9520000000011</v>
      </c>
    </row>
    <row r="7" spans="2:29" ht="30" x14ac:dyDescent="0.25">
      <c r="B7" s="3">
        <v>4</v>
      </c>
      <c r="C7" s="3" t="s">
        <v>32</v>
      </c>
      <c r="D7" s="3" t="s">
        <v>31</v>
      </c>
      <c r="E7" s="3">
        <v>8</v>
      </c>
      <c r="F7" s="3" t="s">
        <v>38</v>
      </c>
      <c r="G7" s="11">
        <f t="shared" si="5"/>
        <v>75.251535224221712</v>
      </c>
      <c r="H7" s="22">
        <v>810</v>
      </c>
      <c r="I7" s="22">
        <f>H7</f>
        <v>810</v>
      </c>
      <c r="J7" s="3">
        <v>2007</v>
      </c>
      <c r="K7" s="3">
        <v>2022</v>
      </c>
      <c r="L7" s="3">
        <f t="shared" si="0"/>
        <v>15</v>
      </c>
      <c r="M7" s="3">
        <v>35</v>
      </c>
      <c r="N7" s="4">
        <v>0.1</v>
      </c>
      <c r="O7" s="5">
        <f t="shared" si="1"/>
        <v>2.5714285714285714E-2</v>
      </c>
      <c r="P7" s="6">
        <v>800</v>
      </c>
      <c r="Q7" s="6">
        <f t="shared" si="6"/>
        <v>648000</v>
      </c>
      <c r="R7" s="6">
        <f t="shared" si="2"/>
        <v>249942.85714285713</v>
      </c>
      <c r="S7" s="6">
        <f t="shared" si="3"/>
        <v>398057.14285714284</v>
      </c>
      <c r="T7" s="20">
        <v>0</v>
      </c>
      <c r="U7" s="21">
        <f t="shared" si="4"/>
        <v>398057.14285714284</v>
      </c>
      <c r="X7">
        <v>1288.8800000000001</v>
      </c>
      <c r="AB7">
        <f>AB6-4300</f>
        <v>2659.9520000000011</v>
      </c>
    </row>
    <row r="8" spans="2:29" ht="30" x14ac:dyDescent="0.25">
      <c r="B8" s="3">
        <v>5</v>
      </c>
      <c r="C8" s="3" t="s">
        <v>35</v>
      </c>
      <c r="D8" s="3" t="s">
        <v>33</v>
      </c>
      <c r="E8" s="3">
        <v>12</v>
      </c>
      <c r="F8" s="3" t="s">
        <v>38</v>
      </c>
      <c r="G8" s="11">
        <f t="shared" si="5"/>
        <v>41.248989678462266</v>
      </c>
      <c r="H8" s="22">
        <v>444</v>
      </c>
      <c r="I8" s="22">
        <f>H8</f>
        <v>444</v>
      </c>
      <c r="J8" s="3">
        <v>2007</v>
      </c>
      <c r="K8" s="3">
        <v>2022</v>
      </c>
      <c r="L8" s="3">
        <f t="shared" si="0"/>
        <v>15</v>
      </c>
      <c r="M8" s="3">
        <v>35</v>
      </c>
      <c r="N8" s="4">
        <v>0.1</v>
      </c>
      <c r="O8" s="5">
        <f t="shared" si="1"/>
        <v>2.5714285714285714E-2</v>
      </c>
      <c r="P8" s="6">
        <v>800</v>
      </c>
      <c r="Q8" s="6">
        <f t="shared" si="6"/>
        <v>355200</v>
      </c>
      <c r="R8" s="6">
        <f t="shared" si="2"/>
        <v>137005.71428571429</v>
      </c>
      <c r="S8" s="6">
        <f t="shared" si="3"/>
        <v>218194.28571428571</v>
      </c>
      <c r="T8" s="20">
        <v>0</v>
      </c>
      <c r="U8" s="21">
        <f t="shared" si="4"/>
        <v>218194.28571428571</v>
      </c>
      <c r="X8">
        <f>X7/1.196</f>
        <v>1077.6588628762543</v>
      </c>
      <c r="AA8">
        <f>9855.44</f>
        <v>9855.44</v>
      </c>
    </row>
    <row r="9" spans="2:29" x14ac:dyDescent="0.25">
      <c r="B9" s="29" t="s">
        <v>12</v>
      </c>
      <c r="C9" s="29"/>
      <c r="D9" s="29"/>
      <c r="E9" s="29"/>
      <c r="F9" s="29"/>
      <c r="G9" s="24">
        <f>SUM(G4:G8)</f>
        <v>1507.8177983816277</v>
      </c>
      <c r="H9" s="23">
        <f>SUM(H4:H8)</f>
        <v>16230</v>
      </c>
      <c r="I9" s="23">
        <f>SUM(I4:I8)</f>
        <v>10109.950000000001</v>
      </c>
      <c r="J9" s="29"/>
      <c r="K9" s="29"/>
      <c r="L9" s="29"/>
      <c r="M9" s="29"/>
      <c r="N9" s="29"/>
      <c r="O9" s="29"/>
      <c r="P9" s="29"/>
      <c r="Q9" s="7">
        <f>SUM(Q4:Q8)</f>
        <v>10566360</v>
      </c>
      <c r="R9" s="7"/>
      <c r="S9" s="7">
        <f>SUM(S4:S8)</f>
        <v>7685706.8571428573</v>
      </c>
      <c r="T9" s="8"/>
      <c r="U9" s="7">
        <f>SUM(U4:U8)</f>
        <v>7685706.8571428573</v>
      </c>
      <c r="W9" t="e">
        <f>U9/#REF!</f>
        <v>#REF!</v>
      </c>
    </row>
    <row r="10" spans="2:29" x14ac:dyDescent="0.25">
      <c r="B10" s="30" t="s">
        <v>13</v>
      </c>
      <c r="C10" s="30"/>
      <c r="D10" s="30"/>
      <c r="E10" s="30"/>
      <c r="F10" s="30"/>
      <c r="G10" s="30"/>
      <c r="H10" s="30"/>
      <c r="I10" s="30"/>
      <c r="J10" s="30"/>
      <c r="K10" s="30"/>
      <c r="L10" s="30"/>
      <c r="M10" s="30"/>
      <c r="N10" s="30"/>
      <c r="O10" s="30"/>
      <c r="P10" s="30"/>
      <c r="Q10" s="30"/>
      <c r="R10" s="30"/>
      <c r="S10" s="30"/>
      <c r="T10" s="30"/>
      <c r="U10" s="30"/>
    </row>
    <row r="11" spans="2:29" x14ac:dyDescent="0.25">
      <c r="B11" s="32" t="s">
        <v>47</v>
      </c>
      <c r="C11" s="32"/>
      <c r="D11" s="32"/>
      <c r="E11" s="32"/>
      <c r="F11" s="32"/>
      <c r="G11" s="32"/>
      <c r="H11" s="32"/>
      <c r="I11" s="32"/>
      <c r="J11" s="32"/>
      <c r="K11" s="32"/>
      <c r="L11" s="32"/>
      <c r="M11" s="32"/>
      <c r="N11" s="32"/>
      <c r="O11" s="32"/>
      <c r="P11" s="32"/>
      <c r="Q11" s="32"/>
      <c r="R11" s="32"/>
      <c r="S11" s="32"/>
      <c r="T11" s="32"/>
      <c r="U11" s="32"/>
      <c r="AA11">
        <v>1288</v>
      </c>
    </row>
    <row r="12" spans="2:29" ht="16.5" customHeight="1" x14ac:dyDescent="0.25">
      <c r="B12" s="32" t="s">
        <v>21</v>
      </c>
      <c r="C12" s="32"/>
      <c r="D12" s="32"/>
      <c r="E12" s="32"/>
      <c r="F12" s="32"/>
      <c r="G12" s="32"/>
      <c r="H12" s="32"/>
      <c r="I12" s="32"/>
      <c r="J12" s="32"/>
      <c r="K12" s="32"/>
      <c r="L12" s="32"/>
      <c r="M12" s="32"/>
      <c r="N12" s="32"/>
      <c r="O12" s="32"/>
      <c r="P12" s="32"/>
      <c r="Q12" s="32"/>
      <c r="R12" s="32"/>
      <c r="S12" s="32"/>
      <c r="T12" s="32"/>
      <c r="U12" s="32"/>
      <c r="AA12">
        <f>AA11*33000</f>
        <v>42504000</v>
      </c>
    </row>
    <row r="13" spans="2:29" ht="15" customHeight="1" x14ac:dyDescent="0.25">
      <c r="B13" s="32" t="s">
        <v>14</v>
      </c>
      <c r="C13" s="32"/>
      <c r="D13" s="32"/>
      <c r="E13" s="32"/>
      <c r="F13" s="32"/>
      <c r="G13" s="32"/>
      <c r="H13" s="32"/>
      <c r="I13" s="32"/>
      <c r="J13" s="32"/>
      <c r="K13" s="32"/>
      <c r="L13" s="32"/>
      <c r="M13" s="32"/>
      <c r="N13" s="32"/>
      <c r="O13" s="32"/>
      <c r="P13" s="32"/>
      <c r="Q13" s="32"/>
      <c r="R13" s="32"/>
      <c r="S13" s="32"/>
      <c r="T13" s="32"/>
      <c r="U13" s="32"/>
    </row>
    <row r="14" spans="2:29" ht="19.5" customHeight="1" x14ac:dyDescent="0.25">
      <c r="B14" s="33" t="s">
        <v>46</v>
      </c>
      <c r="C14" s="34"/>
      <c r="D14" s="34"/>
      <c r="E14" s="34"/>
      <c r="F14" s="34"/>
      <c r="G14" s="34"/>
      <c r="H14" s="34"/>
      <c r="I14" s="34"/>
      <c r="J14" s="34"/>
      <c r="K14" s="34"/>
      <c r="L14" s="34"/>
      <c r="M14" s="34"/>
      <c r="N14" s="34"/>
      <c r="O14" s="34"/>
      <c r="P14" s="34"/>
      <c r="Q14" s="34"/>
      <c r="R14" s="34"/>
      <c r="S14" s="34"/>
      <c r="T14" s="34"/>
      <c r="U14" s="35"/>
    </row>
    <row r="15" spans="2:29" x14ac:dyDescent="0.25">
      <c r="B15" s="32" t="s">
        <v>42</v>
      </c>
      <c r="C15" s="32"/>
      <c r="D15" s="32"/>
      <c r="E15" s="32"/>
      <c r="F15" s="32"/>
      <c r="G15" s="32"/>
      <c r="H15" s="32"/>
      <c r="I15" s="32"/>
      <c r="J15" s="32"/>
      <c r="K15" s="32"/>
      <c r="L15" s="32"/>
      <c r="M15" s="32"/>
      <c r="N15" s="32"/>
      <c r="O15" s="32"/>
      <c r="P15" s="32"/>
      <c r="Q15" s="32"/>
      <c r="R15" s="32"/>
      <c r="S15" s="32"/>
      <c r="T15" s="32"/>
      <c r="U15" s="32"/>
    </row>
    <row r="16" spans="2:29" ht="15.75" customHeight="1" x14ac:dyDescent="0.25">
      <c r="B16" s="33" t="s">
        <v>43</v>
      </c>
      <c r="C16" s="34"/>
      <c r="D16" s="34"/>
      <c r="E16" s="34"/>
      <c r="F16" s="34"/>
      <c r="G16" s="34"/>
      <c r="H16" s="34"/>
      <c r="I16" s="34"/>
      <c r="J16" s="34"/>
      <c r="K16" s="34"/>
      <c r="L16" s="34"/>
      <c r="M16" s="34"/>
      <c r="N16" s="34"/>
      <c r="O16" s="34"/>
      <c r="P16" s="34"/>
      <c r="Q16" s="34"/>
      <c r="R16" s="34"/>
      <c r="S16" s="34"/>
      <c r="T16" s="34"/>
      <c r="U16" s="35"/>
    </row>
    <row r="17" spans="2:21" ht="30" customHeight="1" x14ac:dyDescent="0.25">
      <c r="B17" s="36" t="s">
        <v>44</v>
      </c>
      <c r="C17" s="37"/>
      <c r="D17" s="37"/>
      <c r="E17" s="37"/>
      <c r="F17" s="37"/>
      <c r="G17" s="37"/>
      <c r="H17" s="37"/>
      <c r="I17" s="37"/>
      <c r="J17" s="37"/>
      <c r="K17" s="37"/>
      <c r="L17" s="37"/>
      <c r="M17" s="37"/>
      <c r="N17" s="37"/>
      <c r="O17" s="37"/>
      <c r="P17" s="37"/>
      <c r="Q17" s="37"/>
      <c r="R17" s="37"/>
      <c r="S17" s="37"/>
      <c r="T17" s="37"/>
      <c r="U17" s="38"/>
    </row>
    <row r="18" spans="2:21" x14ac:dyDescent="0.25">
      <c r="I18" s="10">
        <f>I9/10.7639</f>
        <v>939.24599819767934</v>
      </c>
    </row>
    <row r="19" spans="2:21" x14ac:dyDescent="0.25">
      <c r="E19">
        <f>1288.8*9*0.6</f>
        <v>6959.5199999999995</v>
      </c>
      <c r="H19" s="26">
        <f>(H4+H5)/1288.8*9</f>
        <v>91.34078212290504</v>
      </c>
      <c r="I19" s="10"/>
    </row>
    <row r="20" spans="2:21" x14ac:dyDescent="0.25">
      <c r="D20">
        <f>1288.8*9</f>
        <v>11599.199999999999</v>
      </c>
      <c r="J20">
        <f>1288.8*9*1.5</f>
        <v>17398.8</v>
      </c>
      <c r="M20">
        <f>1288.8*9*0.6</f>
        <v>6959.5199999999995</v>
      </c>
    </row>
    <row r="21" spans="2:21" x14ac:dyDescent="0.25">
      <c r="D21" s="10">
        <f>D20/(G5+G4)</f>
        <v>9.5453080183486207</v>
      </c>
      <c r="G21">
        <f>338*12500</f>
        <v>4225000</v>
      </c>
      <c r="J21" s="27">
        <f>(J20-H9)/J20</f>
        <v>6.7177046692875331E-2</v>
      </c>
    </row>
    <row r="22" spans="2:21" x14ac:dyDescent="0.25">
      <c r="N22" s="9"/>
    </row>
    <row r="23" spans="2:21" x14ac:dyDescent="0.25">
      <c r="G23" s="12">
        <f>9730*6000</f>
        <v>58380000</v>
      </c>
      <c r="J23" s="25">
        <f>H9</f>
        <v>16230</v>
      </c>
    </row>
    <row r="24" spans="2:21" x14ac:dyDescent="0.25">
      <c r="G24" s="25">
        <f>SUM(G21:G23)</f>
        <v>62605000</v>
      </c>
      <c r="J24" s="10">
        <f>J23/(1288.8*9)</f>
        <v>1.3992344299606871</v>
      </c>
    </row>
    <row r="25" spans="2:21" x14ac:dyDescent="0.25">
      <c r="J25" s="10"/>
    </row>
  </sheetData>
  <mergeCells count="11">
    <mergeCell ref="B17:U17"/>
    <mergeCell ref="B2:U2"/>
    <mergeCell ref="B13:U13"/>
    <mergeCell ref="B15:U15"/>
    <mergeCell ref="B16:U16"/>
    <mergeCell ref="B9:F9"/>
    <mergeCell ref="J9:P9"/>
    <mergeCell ref="B10:U10"/>
    <mergeCell ref="B11:U11"/>
    <mergeCell ref="B12:U12"/>
    <mergeCell ref="B14:U14"/>
  </mergeCells>
  <pageMargins left="0.7" right="0.7" top="0.75" bottom="0.75" header="0.3" footer="0.3"/>
  <pageSetup orientation="portrait" r:id="rId1"/>
  <ignoredErrors>
    <ignoredError sqref="I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
  <sheetViews>
    <sheetView workbookViewId="0">
      <selection activeCell="D17" sqref="D17"/>
    </sheetView>
  </sheetViews>
  <sheetFormatPr defaultRowHeight="15" x14ac:dyDescent="0.25"/>
  <cols>
    <col min="1" max="2" width="8.7109375" bestFit="1" customWidth="1"/>
    <col min="3" max="3" width="8.42578125" bestFit="1" customWidth="1"/>
    <col min="5" max="5" width="8.5703125" bestFit="1" customWidth="1"/>
    <col min="6" max="6" width="7.7109375" bestFit="1" customWidth="1"/>
    <col min="7" max="7" width="9" bestFit="1" customWidth="1"/>
    <col min="8" max="8" width="8" bestFit="1" customWidth="1"/>
    <col min="9" max="9" width="11.5703125" bestFit="1" customWidth="1"/>
    <col min="10" max="10" width="10.5703125" bestFit="1" customWidth="1"/>
    <col min="11" max="11" width="11.5703125" bestFit="1" customWidth="1"/>
    <col min="12" max="12" width="8.7109375" bestFit="1" customWidth="1"/>
    <col min="13" max="13" width="11.5703125" bestFit="1" customWidth="1"/>
  </cols>
  <sheetData>
    <row r="1" spans="1:13" ht="15.75" x14ac:dyDescent="0.25">
      <c r="A1" s="31" t="s">
        <v>22</v>
      </c>
      <c r="B1" s="31"/>
      <c r="C1" s="31"/>
      <c r="D1" s="31"/>
      <c r="E1" s="31"/>
      <c r="F1" s="31"/>
      <c r="G1" s="31"/>
      <c r="H1" s="31"/>
      <c r="I1" s="31"/>
      <c r="J1" s="31"/>
      <c r="K1" s="31"/>
      <c r="L1" s="31"/>
      <c r="M1" s="31"/>
    </row>
    <row r="2" spans="1:13" ht="105" x14ac:dyDescent="0.25">
      <c r="A2" s="13" t="s">
        <v>23</v>
      </c>
      <c r="B2" s="13" t="s">
        <v>24</v>
      </c>
      <c r="C2" s="13" t="s">
        <v>2</v>
      </c>
      <c r="D2" s="13" t="s">
        <v>25</v>
      </c>
      <c r="E2" s="13" t="s">
        <v>26</v>
      </c>
      <c r="F2" s="13" t="s">
        <v>5</v>
      </c>
      <c r="G2" s="13" t="s">
        <v>6</v>
      </c>
      <c r="H2" s="13" t="s">
        <v>27</v>
      </c>
      <c r="I2" s="13" t="s">
        <v>8</v>
      </c>
      <c r="J2" s="13" t="s">
        <v>9</v>
      </c>
      <c r="K2" s="13" t="s">
        <v>10</v>
      </c>
      <c r="L2" s="13" t="s">
        <v>28</v>
      </c>
      <c r="M2" s="13" t="s">
        <v>11</v>
      </c>
    </row>
    <row r="3" spans="1:13" x14ac:dyDescent="0.25">
      <c r="A3" s="14"/>
      <c r="B3" s="15">
        <v>2021</v>
      </c>
      <c r="C3" s="15">
        <v>2022</v>
      </c>
      <c r="D3" s="15">
        <f>C3-B3</f>
        <v>1</v>
      </c>
      <c r="E3" s="15">
        <v>60</v>
      </c>
      <c r="F3" s="16">
        <v>0.1</v>
      </c>
      <c r="G3" s="17">
        <f>(1-F3)/E3</f>
        <v>1.5000000000000001E-2</v>
      </c>
      <c r="H3" s="18">
        <v>1200</v>
      </c>
      <c r="I3" s="18">
        <f>H3*A3</f>
        <v>0</v>
      </c>
      <c r="J3" s="18">
        <f>I3*G3*D3</f>
        <v>0</v>
      </c>
      <c r="K3" s="18">
        <f>MAX(I3-J3,0)</f>
        <v>0</v>
      </c>
      <c r="L3" s="19">
        <v>0</v>
      </c>
      <c r="M3" s="18">
        <f>IF(K3&gt;F3*I3,K3*(1-L3),I3*F3)</f>
        <v>0</v>
      </c>
    </row>
    <row r="5" spans="1:13" x14ac:dyDescent="0.25">
      <c r="C5" t="s">
        <v>41</v>
      </c>
    </row>
  </sheetData>
  <mergeCells count="1">
    <mergeCell ref="A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3:M6"/>
  <sheetViews>
    <sheetView workbookViewId="0">
      <selection activeCell="L19" sqref="L19"/>
    </sheetView>
  </sheetViews>
  <sheetFormatPr defaultRowHeight="15" x14ac:dyDescent="0.25"/>
  <cols>
    <col min="4" max="4" width="10" bestFit="1" customWidth="1"/>
    <col min="6" max="6" width="10" bestFit="1" customWidth="1"/>
    <col min="9" max="9" width="10" bestFit="1" customWidth="1"/>
  </cols>
  <sheetData>
    <row r="3" spans="4:13" x14ac:dyDescent="0.25">
      <c r="D3">
        <v>106500000</v>
      </c>
    </row>
    <row r="4" spans="4:13" x14ac:dyDescent="0.25">
      <c r="D4">
        <f>D3/1430</f>
        <v>74475.524475524478</v>
      </c>
      <c r="F4">
        <v>120000000</v>
      </c>
      <c r="I4">
        <v>115000000</v>
      </c>
      <c r="K4">
        <v>98500000</v>
      </c>
      <c r="M4">
        <v>94000000</v>
      </c>
    </row>
    <row r="5" spans="4:13" x14ac:dyDescent="0.25">
      <c r="F5">
        <v>1650</v>
      </c>
      <c r="I5">
        <f>I4/1340</f>
        <v>85820.895522388062</v>
      </c>
      <c r="K5">
        <f>K4/1600</f>
        <v>61562.5</v>
      </c>
      <c r="M5">
        <v>1385</v>
      </c>
    </row>
    <row r="6" spans="4:13" x14ac:dyDescent="0.25">
      <c r="F6">
        <f>F4/F5</f>
        <v>72727.272727272721</v>
      </c>
      <c r="M6">
        <f>M4/M5</f>
        <v>67870.036101083038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Arup Banerjee</cp:lastModifiedBy>
  <dcterms:created xsi:type="dcterms:W3CDTF">2022-07-28T09:17:09Z</dcterms:created>
  <dcterms:modified xsi:type="dcterms:W3CDTF">2022-11-24T13:03:14Z</dcterms:modified>
</cp:coreProperties>
</file>