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VIS(2022-23)-PL444-353-632\Report\"/>
    </mc:Choice>
  </mc:AlternateContent>
  <bookViews>
    <workbookView xWindow="0" yWindow="0" windowWidth="24000" windowHeight="9735" tabRatio="869"/>
  </bookViews>
  <sheets>
    <sheet name="Plant Buildings" sheetId="16" r:id="rId1"/>
    <sheet name="Sheet1" sheetId="17" r:id="rId2"/>
    <sheet name="Sheet2" sheetId="18" r:id="rId3"/>
  </sheets>
  <externalReferences>
    <externalReference r:id="rId4"/>
  </externalReferences>
  <definedNames>
    <definedName name="_xlnm._FilterDatabase" localSheetId="0" hidden="1">'Plant Buildings'!$B$3:$V$60</definedName>
    <definedName name="_xlnm.Print_Area" localSheetId="0">'Plant Buildings'!$B$2:$M$65</definedName>
    <definedName name="_xlnm.Print_Titles" localSheetId="0">'Plant Buildings'!$2:$3</definedName>
  </definedNames>
  <calcPr calcId="152511" iterate="1"/>
</workbook>
</file>

<file path=xl/calcChain.xml><?xml version="1.0" encoding="utf-8"?>
<calcChain xmlns="http://schemas.openxmlformats.org/spreadsheetml/2006/main">
  <c r="W2" i="16" l="1"/>
  <c r="AC13" i="16" s="1"/>
  <c r="AC12" i="16" l="1"/>
  <c r="O12" i="18"/>
  <c r="O11" i="18"/>
  <c r="O10" i="18"/>
  <c r="N5" i="18"/>
  <c r="O5" i="18"/>
  <c r="M12" i="18"/>
  <c r="O4" i="18"/>
  <c r="AB9" i="16"/>
  <c r="AD10" i="16" l="1"/>
  <c r="AD9" i="16"/>
  <c r="AC10" i="16"/>
  <c r="AB26" i="16" s="1"/>
  <c r="AB27" i="16" s="1"/>
  <c r="AC9" i="16"/>
  <c r="AB10" i="16"/>
  <c r="AD13" i="16" l="1"/>
  <c r="P60" i="16" l="1"/>
  <c r="R60" i="16" s="1"/>
  <c r="T60" i="16" s="1"/>
  <c r="U60" i="16" s="1"/>
  <c r="P59" i="16"/>
  <c r="R59" i="16" s="1"/>
  <c r="T59" i="16" s="1"/>
  <c r="U59" i="16" s="1"/>
  <c r="P58" i="16"/>
  <c r="R58" i="16" s="1"/>
  <c r="T58" i="16" s="1"/>
  <c r="U58" i="16" s="1"/>
  <c r="V58" i="16" s="1"/>
  <c r="P57" i="16"/>
  <c r="R57" i="16" s="1"/>
  <c r="T57" i="16" s="1"/>
  <c r="P56" i="16"/>
  <c r="R56" i="16" s="1"/>
  <c r="T56" i="16" s="1"/>
  <c r="U56" i="16" s="1"/>
  <c r="P55" i="16"/>
  <c r="R55" i="16" s="1"/>
  <c r="T55" i="16" s="1"/>
  <c r="U55" i="16" s="1"/>
  <c r="P54" i="16"/>
  <c r="R54" i="16" s="1"/>
  <c r="T54" i="16" s="1"/>
  <c r="P53" i="16"/>
  <c r="R53" i="16" s="1"/>
  <c r="T53" i="16" s="1"/>
  <c r="U53" i="16" s="1"/>
  <c r="P52" i="16"/>
  <c r="R52" i="16" s="1"/>
  <c r="T52" i="16" s="1"/>
  <c r="U52" i="16" s="1"/>
  <c r="P51" i="16"/>
  <c r="R51" i="16" s="1"/>
  <c r="T51" i="16" s="1"/>
  <c r="U51" i="16" s="1"/>
  <c r="P50" i="16"/>
  <c r="R50" i="16" s="1"/>
  <c r="T50" i="16" s="1"/>
  <c r="P49" i="16"/>
  <c r="R49" i="16" s="1"/>
  <c r="T49" i="16" s="1"/>
  <c r="P48" i="16"/>
  <c r="R48" i="16" s="1"/>
  <c r="T48" i="16" s="1"/>
  <c r="U48" i="16" s="1"/>
  <c r="P47" i="16"/>
  <c r="R47" i="16" s="1"/>
  <c r="T47" i="16" s="1"/>
  <c r="U47" i="16" s="1"/>
  <c r="P46" i="16"/>
  <c r="R46" i="16" s="1"/>
  <c r="T46" i="16" s="1"/>
  <c r="U46" i="16" s="1"/>
  <c r="P45" i="16"/>
  <c r="R45" i="16" s="1"/>
  <c r="T45" i="16" s="1"/>
  <c r="U45" i="16" s="1"/>
  <c r="P44" i="16"/>
  <c r="R44" i="16" s="1"/>
  <c r="T44" i="16" s="1"/>
  <c r="U44" i="16" s="1"/>
  <c r="V44" i="16" s="1"/>
  <c r="P43" i="16"/>
  <c r="R43" i="16" s="1"/>
  <c r="T43" i="16" s="1"/>
  <c r="U43" i="16" s="1"/>
  <c r="P42" i="16"/>
  <c r="R42" i="16" s="1"/>
  <c r="T42" i="16" s="1"/>
  <c r="U42" i="16" s="1"/>
  <c r="P41" i="16"/>
  <c r="R41" i="16" s="1"/>
  <c r="T41" i="16" s="1"/>
  <c r="U41" i="16" s="1"/>
  <c r="P40" i="16"/>
  <c r="R40" i="16" s="1"/>
  <c r="T40" i="16" s="1"/>
  <c r="U40" i="16" s="1"/>
  <c r="P39" i="16"/>
  <c r="R39" i="16" s="1"/>
  <c r="T39" i="16" s="1"/>
  <c r="U39" i="16" s="1"/>
  <c r="P38" i="16"/>
  <c r="R38" i="16" s="1"/>
  <c r="T38" i="16" s="1"/>
  <c r="U38" i="16" s="1"/>
  <c r="P37" i="16"/>
  <c r="R37" i="16" s="1"/>
  <c r="T37" i="16" s="1"/>
  <c r="U37" i="16" s="1"/>
  <c r="P36" i="16"/>
  <c r="R36" i="16" s="1"/>
  <c r="T36" i="16" s="1"/>
  <c r="U36" i="16" s="1"/>
  <c r="P35" i="16"/>
  <c r="R35" i="16" s="1"/>
  <c r="T35" i="16" s="1"/>
  <c r="U35" i="16" s="1"/>
  <c r="P34" i="16"/>
  <c r="R34" i="16" s="1"/>
  <c r="T34" i="16" s="1"/>
  <c r="U34" i="16" s="1"/>
  <c r="P33" i="16"/>
  <c r="R33" i="16" s="1"/>
  <c r="T33" i="16" s="1"/>
  <c r="U33" i="16" s="1"/>
  <c r="P32" i="16"/>
  <c r="R32" i="16" s="1"/>
  <c r="T32" i="16" s="1"/>
  <c r="U32" i="16" s="1"/>
  <c r="P31" i="16"/>
  <c r="R31" i="16" s="1"/>
  <c r="T31" i="16" s="1"/>
  <c r="U31" i="16" s="1"/>
  <c r="P30" i="16"/>
  <c r="R30" i="16" s="1"/>
  <c r="T30" i="16" s="1"/>
  <c r="U30" i="16" s="1"/>
  <c r="P29" i="16"/>
  <c r="R29" i="16" s="1"/>
  <c r="T29" i="16" s="1"/>
  <c r="U29" i="16" s="1"/>
  <c r="P28" i="16"/>
  <c r="R28" i="16" s="1"/>
  <c r="T28" i="16" s="1"/>
  <c r="U28" i="16" s="1"/>
  <c r="P27" i="16"/>
  <c r="R27" i="16" s="1"/>
  <c r="T27" i="16" s="1"/>
  <c r="U27" i="16" s="1"/>
  <c r="P26" i="16"/>
  <c r="R26" i="16" s="1"/>
  <c r="T26" i="16" s="1"/>
  <c r="U26" i="16" s="1"/>
  <c r="P25" i="16"/>
  <c r="R25" i="16" s="1"/>
  <c r="T25" i="16" s="1"/>
  <c r="U25" i="16" s="1"/>
  <c r="P24" i="16"/>
  <c r="R24" i="16" s="1"/>
  <c r="T24" i="16" s="1"/>
  <c r="U24" i="16" s="1"/>
  <c r="P23" i="16"/>
  <c r="R23" i="16" s="1"/>
  <c r="T23" i="16" s="1"/>
  <c r="U23" i="16" s="1"/>
  <c r="P22" i="16"/>
  <c r="R22" i="16" s="1"/>
  <c r="T22" i="16" s="1"/>
  <c r="P21" i="16"/>
  <c r="R21" i="16" s="1"/>
  <c r="T21" i="16" s="1"/>
  <c r="U21" i="16" s="1"/>
  <c r="P20" i="16"/>
  <c r="R20" i="16" s="1"/>
  <c r="T20" i="16" s="1"/>
  <c r="U20" i="16" s="1"/>
  <c r="P19" i="16"/>
  <c r="R19" i="16" s="1"/>
  <c r="T19" i="16" s="1"/>
  <c r="U19" i="16" s="1"/>
  <c r="P18" i="16"/>
  <c r="R18" i="16" s="1"/>
  <c r="T18" i="16" s="1"/>
  <c r="U18" i="16" s="1"/>
  <c r="P17" i="16"/>
  <c r="R17" i="16" s="1"/>
  <c r="T17" i="16" s="1"/>
  <c r="U17" i="16" s="1"/>
  <c r="P16" i="16"/>
  <c r="R16" i="16" s="1"/>
  <c r="T16" i="16" s="1"/>
  <c r="U16" i="16" s="1"/>
  <c r="P15" i="16"/>
  <c r="R15" i="16" s="1"/>
  <c r="T15" i="16" s="1"/>
  <c r="U15" i="16" s="1"/>
  <c r="P14" i="16"/>
  <c r="R14" i="16" s="1"/>
  <c r="T14" i="16" s="1"/>
  <c r="U14" i="16" s="1"/>
  <c r="V14" i="16" s="1"/>
  <c r="P13" i="16"/>
  <c r="R13" i="16" s="1"/>
  <c r="T13" i="16" s="1"/>
  <c r="U13" i="16" s="1"/>
  <c r="P12" i="16"/>
  <c r="R12" i="16" s="1"/>
  <c r="T12" i="16" s="1"/>
  <c r="P11" i="16"/>
  <c r="R11" i="16" s="1"/>
  <c r="T11" i="16" s="1"/>
  <c r="U11" i="16" s="1"/>
  <c r="P10" i="16"/>
  <c r="R10" i="16" s="1"/>
  <c r="T10" i="16" s="1"/>
  <c r="P9" i="16"/>
  <c r="R9" i="16" s="1"/>
  <c r="T9" i="16" s="1"/>
  <c r="U9" i="16" s="1"/>
  <c r="P8" i="16"/>
  <c r="R8" i="16" s="1"/>
  <c r="T8" i="16" s="1"/>
  <c r="U8" i="16" s="1"/>
  <c r="P7" i="16"/>
  <c r="R7" i="16" s="1"/>
  <c r="T7" i="16" s="1"/>
  <c r="U7" i="16" s="1"/>
  <c r="P6" i="16"/>
  <c r="R6" i="16" s="1"/>
  <c r="T6" i="16" s="1"/>
  <c r="U6" i="16" s="1"/>
  <c r="V6" i="16" s="1"/>
  <c r="P5" i="16"/>
  <c r="R5" i="16" s="1"/>
  <c r="T5" i="16" s="1"/>
  <c r="U5" i="16" s="1"/>
  <c r="V5" i="16" s="1"/>
  <c r="P4" i="16"/>
  <c r="R4" i="16" s="1"/>
  <c r="T4" i="16" s="1"/>
  <c r="F2" i="16"/>
  <c r="G2" i="16" s="1"/>
  <c r="D11" i="17"/>
  <c r="D10" i="17"/>
  <c r="G7" i="17"/>
  <c r="F7" i="17"/>
  <c r="V9" i="16" l="1"/>
  <c r="U49" i="16"/>
  <c r="V49" i="16" s="1"/>
  <c r="U22" i="16"/>
  <c r="V22" i="16" s="1"/>
  <c r="U50" i="16"/>
  <c r="V50" i="16" s="1"/>
  <c r="V13" i="16"/>
  <c r="U10" i="16"/>
  <c r="V10" i="16" s="1"/>
  <c r="U54" i="16"/>
  <c r="V54" i="16" s="1"/>
  <c r="U12" i="16"/>
  <c r="V12" i="16" s="1"/>
  <c r="V56" i="16"/>
  <c r="V60" i="16"/>
  <c r="S12" i="16"/>
  <c r="S44" i="16"/>
  <c r="S4" i="16"/>
  <c r="S8" i="16"/>
  <c r="S24" i="16"/>
  <c r="S40" i="16"/>
  <c r="S56" i="16"/>
  <c r="S28" i="16"/>
  <c r="S60" i="16"/>
  <c r="S16" i="16"/>
  <c r="S32" i="16"/>
  <c r="S48" i="16"/>
  <c r="S20" i="16"/>
  <c r="S36" i="16"/>
  <c r="S52" i="16"/>
  <c r="S5" i="16"/>
  <c r="S9" i="16"/>
  <c r="S13" i="16"/>
  <c r="S17" i="16"/>
  <c r="S21" i="16"/>
  <c r="S25" i="16"/>
  <c r="S29" i="16"/>
  <c r="S33" i="16"/>
  <c r="S37" i="16"/>
  <c r="S41" i="16"/>
  <c r="S45" i="16"/>
  <c r="S49" i="16"/>
  <c r="S53" i="16"/>
  <c r="S57" i="16"/>
  <c r="S6" i="16"/>
  <c r="S10" i="16"/>
  <c r="S14" i="16"/>
  <c r="S18" i="16"/>
  <c r="S22" i="16"/>
  <c r="S26" i="16"/>
  <c r="S30" i="16"/>
  <c r="S34" i="16"/>
  <c r="S38" i="16"/>
  <c r="S42" i="16"/>
  <c r="S46" i="16"/>
  <c r="S50" i="16"/>
  <c r="S54" i="16"/>
  <c r="S58" i="16"/>
  <c r="S7" i="16"/>
  <c r="S11" i="16"/>
  <c r="S15" i="16"/>
  <c r="S19" i="16"/>
  <c r="S23" i="16"/>
  <c r="S27" i="16"/>
  <c r="S31" i="16"/>
  <c r="S35" i="16"/>
  <c r="S39" i="16"/>
  <c r="S43" i="16"/>
  <c r="S47" i="16"/>
  <c r="S51" i="16"/>
  <c r="S55" i="16"/>
  <c r="S59" i="16"/>
  <c r="V18" i="16"/>
  <c r="U4" i="16"/>
  <c r="V4" i="16" s="1"/>
  <c r="V23" i="16"/>
  <c r="U57" i="16"/>
  <c r="V57" i="16" s="1"/>
  <c r="V51" i="16"/>
  <c r="V17" i="16"/>
  <c r="V19" i="16"/>
  <c r="V59" i="16"/>
  <c r="V27" i="16"/>
  <c r="V7" i="16"/>
  <c r="V15" i="16"/>
  <c r="V16" i="16"/>
  <c r="V33" i="16"/>
  <c r="V29" i="16"/>
  <c r="V37" i="16"/>
  <c r="V8" i="16"/>
  <c r="V11" i="16"/>
  <c r="V24" i="16"/>
  <c r="V28" i="16"/>
  <c r="V32" i="16"/>
  <c r="V55" i="16"/>
  <c r="T2" i="16"/>
  <c r="T1" i="16" s="1"/>
  <c r="L78" i="16"/>
  <c r="B11" i="16"/>
  <c r="B12" i="16" s="1"/>
  <c r="B13" i="16" s="1"/>
  <c r="B14" i="16" s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1" i="16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5" i="16"/>
  <c r="B6" i="16" s="1"/>
  <c r="B7" i="16" s="1"/>
  <c r="B8" i="16" s="1"/>
  <c r="B9" i="16" s="1"/>
  <c r="AC18" i="16" l="1"/>
  <c r="V39" i="16"/>
  <c r="V34" i="16"/>
  <c r="V21" i="16"/>
  <c r="V20" i="16"/>
  <c r="V42" i="16"/>
  <c r="V38" i="16"/>
  <c r="V43" i="16" l="1"/>
  <c r="V25" i="16"/>
  <c r="V47" i="16"/>
  <c r="V52" i="16"/>
  <c r="V26" i="16"/>
  <c r="V30" i="16" l="1"/>
  <c r="V31" i="16"/>
  <c r="V48" i="16"/>
  <c r="V53" i="16"/>
  <c r="V35" i="16" l="1"/>
  <c r="V36" i="16"/>
  <c r="V41" i="16" l="1"/>
  <c r="V46" i="16"/>
  <c r="V40" i="16"/>
  <c r="V45" i="16"/>
  <c r="V2" i="16" l="1"/>
  <c r="V1" i="16" l="1"/>
  <c r="AC14" i="16"/>
  <c r="AC15" i="16" s="1"/>
  <c r="AD15" i="16" s="1"/>
</calcChain>
</file>

<file path=xl/sharedStrings.xml><?xml version="1.0" encoding="utf-8"?>
<sst xmlns="http://schemas.openxmlformats.org/spreadsheetml/2006/main" count="439" uniqueCount="157">
  <si>
    <t>Recovery TA House</t>
  </si>
  <si>
    <t>Na2CO3 House</t>
  </si>
  <si>
    <t>Blower House</t>
  </si>
  <si>
    <t>FO Unloading Shed</t>
  </si>
  <si>
    <t>RCC</t>
  </si>
  <si>
    <t>Fire Equipment Store</t>
  </si>
  <si>
    <t>AG-1731 Inverter Room</t>
  </si>
  <si>
    <t>Building Name</t>
  </si>
  <si>
    <t>Sub Contractors' Canteen
(Contract Workers' Canteen)</t>
  </si>
  <si>
    <t>Air Compressor (C-1714) 
Building</t>
  </si>
  <si>
    <t>Fire Water Pump House</t>
  </si>
  <si>
    <t>Foundation</t>
  </si>
  <si>
    <t>Structure</t>
  </si>
  <si>
    <t>Wall</t>
  </si>
  <si>
    <t>RCC Footing</t>
  </si>
  <si>
    <t>RCC Frame</t>
  </si>
  <si>
    <t>Brickwork</t>
  </si>
  <si>
    <t>Vitrified Tiles 
over Concrete</t>
  </si>
  <si>
    <t>Plant &amp; 
Location</t>
  </si>
  <si>
    <t>Floor</t>
  </si>
  <si>
    <t>RCC with Epoxy Coating</t>
  </si>
  <si>
    <t xml:space="preserve">Roof
</t>
  </si>
  <si>
    <t>RCC Pile</t>
  </si>
  <si>
    <t>Galvalume Sheet over Steel Structure</t>
  </si>
  <si>
    <t>DP-CTA</t>
  </si>
  <si>
    <t>Plant
Common</t>
  </si>
  <si>
    <t>DP-Utility</t>
  </si>
  <si>
    <t>Main Control Building
(CCR)</t>
  </si>
  <si>
    <t>Brickwork &amp; Asbestos Cladding</t>
  </si>
  <si>
    <t>Maintenance Building
(Engineering Workshop)</t>
  </si>
  <si>
    <t>DP-PTA</t>
  </si>
  <si>
    <t>SS-02
(Electrical Substation)</t>
  </si>
  <si>
    <t>SS-03
(Electrical Substation)</t>
  </si>
  <si>
    <t>SS-01
(Electrical Substation)</t>
  </si>
  <si>
    <t>Galvalume Sheet over Steel Structure with under ceiling insulation</t>
  </si>
  <si>
    <t>Sl.</t>
  </si>
  <si>
    <t>RCC with False ceiling in 1st &amp; 2nd Floor</t>
  </si>
  <si>
    <t>Compressor House</t>
  </si>
  <si>
    <t>RCC &amp; Galvanized Steel Grating</t>
  </si>
  <si>
    <t>Laboratory Building</t>
  </si>
  <si>
    <t>Galvalume Sheet over Steel Structure, with False Ceiling</t>
  </si>
  <si>
    <t>Epoxy Coating, Terrazzo Finish &amp; Ceramic Tiles over Concrete</t>
  </si>
  <si>
    <t>Product Warehouse</t>
  </si>
  <si>
    <t>Residue Pit House</t>
  </si>
  <si>
    <t>Asbestos Cladding</t>
  </si>
  <si>
    <t>Galvalume Sheet Cladding</t>
  </si>
  <si>
    <t xml:space="preserve">Gr. Fl. - RCC with Epoxy Coating
1st Fl. - PVC False floor over RCC slab </t>
  </si>
  <si>
    <t xml:space="preserve">Gr. Fl. - Vitrified Tiles 
over Concrete
1st Fl. - PVC False floor over RCC slab </t>
  </si>
  <si>
    <t>Asbestos Sheet over Steel Structure with under ceiling insulation</t>
  </si>
  <si>
    <t>Asbestos Sheet over Steel Structure</t>
  </si>
  <si>
    <t>LCP (Local Control Panel) 
Houses - Total 05 Nos.</t>
  </si>
  <si>
    <t>RCC Floor</t>
  </si>
  <si>
    <t>Crane Garage</t>
  </si>
  <si>
    <t>Steel Frame</t>
  </si>
  <si>
    <t>Main Office Building
(Admin Building)</t>
  </si>
  <si>
    <t>Vitrified Tiles, PVC Tiles &amp; Terrazzo Finish over Concrete</t>
  </si>
  <si>
    <t>Canteen Building</t>
  </si>
  <si>
    <t>Terrazzo &amp; IPS Finish over Concrete</t>
  </si>
  <si>
    <t>Asbestos Sheet over Steel Structure, with False Ceiling</t>
  </si>
  <si>
    <t>Asbestos Sheet over Steel Structure, with False Ceiling for Office areas and under ceiling insulation for Fire Tender Parking</t>
  </si>
  <si>
    <t>Change House</t>
  </si>
  <si>
    <t>Terrazzo Finish over Concrete</t>
  </si>
  <si>
    <t>Material Office Building</t>
  </si>
  <si>
    <t>L/O &amp; Chemical Storage House</t>
  </si>
  <si>
    <t>Garage</t>
  </si>
  <si>
    <t>Asbestos Cladding in three sides</t>
  </si>
  <si>
    <t>Sub Gate House
(Material Gate Security Office)</t>
  </si>
  <si>
    <t>Gate House &amp; Fire Station
(Main Gate Security Office &amp; Fire Service Station)</t>
  </si>
  <si>
    <t>Laundry House</t>
  </si>
  <si>
    <t>Bicycle Shed</t>
  </si>
  <si>
    <t>Partial Brickwork</t>
  </si>
  <si>
    <t>Training Center 
- 02 Nos. Buildings</t>
  </si>
  <si>
    <t>RCC &amp;
Steel Frame</t>
  </si>
  <si>
    <t>RCC &amp; Chq. Plate</t>
  </si>
  <si>
    <t>Chq. Plate
(Flat Roof)</t>
  </si>
  <si>
    <t>Main Room - Brickwork
Drying Room -
FRP Clad, Chain Link &amp; Brickwork</t>
  </si>
  <si>
    <t>HP Compressor House</t>
  </si>
  <si>
    <t>HP-CTA</t>
  </si>
  <si>
    <t>Brickwork &amp; Galvalume Cladding</t>
  </si>
  <si>
    <t>HP-Utility</t>
  </si>
  <si>
    <t>DEG House - Galvalume Sheet over Steel Structure.
2SS-00 - RCC Roof.</t>
  </si>
  <si>
    <t>RCC Floor with Epoxy coating in substation only</t>
  </si>
  <si>
    <t>Gr. Fl. - RCC with Epoxy Coating.
1st Fl. - PVC False floor over RCC slab.</t>
  </si>
  <si>
    <t>Galvalume Sheet (Sandwich panel insulation) over Steel Structure</t>
  </si>
  <si>
    <t>HP Recovery TA House</t>
  </si>
  <si>
    <t>HP Na2CO3 House</t>
  </si>
  <si>
    <t>HP Blower House</t>
  </si>
  <si>
    <t>RCC Slab</t>
  </si>
  <si>
    <t>RCC with False ceiling in Gr. &amp; 1st Floor</t>
  </si>
  <si>
    <t>Main Room - RCC Slab
Drying Room -
FRP Sheet over Steel Structure</t>
  </si>
  <si>
    <t>Heavy Equipment Spare Storage</t>
  </si>
  <si>
    <t>GI Sheet over Steel Structure</t>
  </si>
  <si>
    <t>Open on all sides</t>
  </si>
  <si>
    <t>CCR Tool Room</t>
  </si>
  <si>
    <t>HP Bagging House</t>
  </si>
  <si>
    <t>HP Canteen Building</t>
  </si>
  <si>
    <t>HP DEG (Generator) House &amp; 
2SS-00 (Electrical Substation)</t>
  </si>
  <si>
    <t>Mezzanine Product Room
(DP Bagging House)</t>
  </si>
  <si>
    <t>Non Plant
Common</t>
  </si>
  <si>
    <t>HP-PTA</t>
  </si>
  <si>
    <t>DP DEG (Generator) House &amp; 
SS-00 (Electrical Substation)</t>
  </si>
  <si>
    <t>DEG House - Asbestos Sheet over Steel Structure.
SS-00 - RCC Roof.</t>
  </si>
  <si>
    <t>2SS-03 
(Electrical Substation)</t>
  </si>
  <si>
    <t>2SS-01&amp;02 
(Electrical Substation)</t>
  </si>
  <si>
    <t>RCC Slab (Sloped)</t>
  </si>
  <si>
    <t>Brickwork in three sides</t>
  </si>
  <si>
    <t>Bulk Setting House</t>
  </si>
  <si>
    <t>CHH</t>
  </si>
  <si>
    <t>Engineering Store-2
(E &amp; I Store)</t>
  </si>
  <si>
    <t>Engineering Store-1
(Maintenance Warehouse)</t>
  </si>
  <si>
    <t>Project Building
(Toyo House)</t>
  </si>
  <si>
    <t>Fire Water Pump House-2
(New)</t>
  </si>
  <si>
    <t>CHH Control Room</t>
  </si>
  <si>
    <t>5SS-01
(Electrical Substation)</t>
  </si>
  <si>
    <t>CHH Heater Sheds
- 03 Nos Sheds</t>
  </si>
  <si>
    <t>Limestone &amp; Bed Material Shed</t>
  </si>
  <si>
    <t>MRSS Building
(Main Receiving Substation)</t>
  </si>
  <si>
    <t>HP Chemical Storage</t>
  </si>
  <si>
    <t>Gr. Fl. - RCC
1st Fl. - Epoxy over RCC</t>
  </si>
  <si>
    <t>RCC with False ceiling in Control Room only</t>
  </si>
  <si>
    <t>ESP LCP Rooms
-03 Nos Buildings</t>
  </si>
  <si>
    <t>RCC with False ceiling</t>
  </si>
  <si>
    <t>Vitrified Tiles over Concrete &amp; Chq. Plate</t>
  </si>
  <si>
    <t>Epoxy Coating over RCC Floor</t>
  </si>
  <si>
    <t>CHH Coal Conveyor Sheds
- 04 Nos Sheds</t>
  </si>
  <si>
    <t>Lower Level Roof - Galvalume Sheet over Steel Structure with under ceiling Upper Level Roof - Asbestos Sheet over Steel Structure with under ceiling insulation</t>
  </si>
  <si>
    <t>LEGEND:</t>
  </si>
  <si>
    <t>Newly added in the list</t>
  </si>
  <si>
    <t>Newly added in the list, complete data not available</t>
  </si>
  <si>
    <t>Total Fl. Area (M2)</t>
  </si>
  <si>
    <t>Floor Area (M2</t>
  </si>
  <si>
    <t>Height (M)</t>
  </si>
  <si>
    <t>Strory Nos.</t>
  </si>
  <si>
    <t>YoC</t>
  </si>
  <si>
    <t>CoC 2021</t>
  </si>
  <si>
    <t>CoC 2022</t>
  </si>
  <si>
    <t>CoC Considered</t>
  </si>
  <si>
    <t>Adjustment</t>
  </si>
  <si>
    <t>GCRC</t>
  </si>
  <si>
    <t>Depre.</t>
  </si>
  <si>
    <t>DRC</t>
  </si>
  <si>
    <t>Per Sqm</t>
  </si>
  <si>
    <t>per sqft</t>
  </si>
  <si>
    <t>Land Development</t>
  </si>
  <si>
    <t>Main Plant Area</t>
  </si>
  <si>
    <t>Water Body + Others</t>
  </si>
  <si>
    <t>Area- Acre</t>
  </si>
  <si>
    <t>Development rate/acre</t>
  </si>
  <si>
    <t>Total Development</t>
  </si>
  <si>
    <t>Total Building</t>
  </si>
  <si>
    <t>Total Building+LD</t>
  </si>
  <si>
    <t>acre</t>
  </si>
  <si>
    <t>per acre</t>
  </si>
  <si>
    <t>about 17 km from MCPI</t>
  </si>
  <si>
    <t>Freehold</t>
  </si>
  <si>
    <t>industrial land</t>
  </si>
  <si>
    <t>Boundary wall &amp;Drain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</si>
</sst>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_ ;_ * \-#,##0_ ;_ * &quot;-&quot;??_ ;_ @_ "/>
    <numFmt numFmtId="165" formatCode="_ * #,##0_ ;_ * \-#,##0_ ;_ * &quot;-&quot;?_ ;_ @_ "/>
  </numFmts>
  <fonts count="7">
    <font>
      <sz val="11"/>
      <color theme="1"/>
      <name val="Calibri"/>
      <family val="2"/>
      <scheme val="minor"/>
    </font>
    <font>
      <sz val="11"/>
      <name val="ＭＳ Ｐゴシック"/>
      <charset val="128"/>
    </font>
    <font>
      <sz val="10"/>
      <name val="Tahoma"/>
      <family val="2"/>
    </font>
    <font>
      <b/>
      <sz val="10"/>
      <name val="Tahoma"/>
      <family val="2"/>
    </font>
    <font>
      <sz val="11"/>
      <color theme="1"/>
      <name val="Calibri"/>
      <family val="2"/>
      <scheme val="minor"/>
    </font>
    <font>
      <sz val="9"/>
      <color rgb="FF202124"/>
      <name val="Arial"/>
      <family val="2"/>
    </font>
    <font>
      <b/>
      <sz val="10"/>
      <color theme="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0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NumberFormat="1" applyFont="1" applyAlignment="1">
      <alignment horizontal="center" vertical="top" wrapText="1"/>
    </xf>
    <xf numFmtId="4" fontId="5" fillId="0" borderId="0" xfId="0" applyNumberFormat="1" applyFont="1"/>
    <xf numFmtId="43" fontId="2" fillId="0" borderId="0" xfId="3" applyFont="1" applyAlignment="1">
      <alignment horizontal="center" vertical="top" wrapText="1"/>
    </xf>
    <xf numFmtId="164" fontId="2" fillId="0" borderId="0" xfId="3" applyNumberFormat="1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 shrinkToFit="1"/>
    </xf>
    <xf numFmtId="164" fontId="3" fillId="0" borderId="1" xfId="3" applyNumberFormat="1" applyFont="1" applyBorder="1" applyAlignment="1">
      <alignment horizontal="center" vertical="center" wrapText="1" shrinkToFit="1"/>
    </xf>
    <xf numFmtId="164" fontId="3" fillId="0" borderId="1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/>
    </xf>
    <xf numFmtId="43" fontId="0" fillId="0" borderId="0" xfId="3" applyFont="1"/>
    <xf numFmtId="164" fontId="0" fillId="0" borderId="0" xfId="3" applyNumberFormat="1" applyFont="1"/>
    <xf numFmtId="164" fontId="2" fillId="0" borderId="0" xfId="3" applyNumberFormat="1" applyFont="1" applyAlignment="1">
      <alignment horizontal="center" vertical="center" wrapText="1"/>
    </xf>
    <xf numFmtId="164" fontId="2" fillId="0" borderId="0" xfId="3" applyNumberFormat="1" applyFont="1" applyAlignment="1">
      <alignment vertical="top" wrapText="1"/>
    </xf>
    <xf numFmtId="9" fontId="2" fillId="0" borderId="0" xfId="4" applyNumberFormat="1" applyFont="1" applyAlignment="1">
      <alignment vertical="top" wrapText="1"/>
    </xf>
    <xf numFmtId="9" fontId="2" fillId="0" borderId="0" xfId="4" applyNumberFormat="1" applyFont="1" applyAlignment="1">
      <alignment horizontal="center" vertical="center" wrapText="1"/>
    </xf>
    <xf numFmtId="0" fontId="2" fillId="0" borderId="0" xfId="3" applyNumberFormat="1" applyFont="1" applyAlignment="1">
      <alignment vertical="top" wrapText="1"/>
    </xf>
    <xf numFmtId="164" fontId="6" fillId="6" borderId="0" xfId="3" applyNumberFormat="1" applyFont="1" applyFill="1" applyAlignment="1">
      <alignment horizontal="center" vertical="center" wrapText="1"/>
    </xf>
    <xf numFmtId="164" fontId="2" fillId="0" borderId="0" xfId="3" applyNumberFormat="1" applyFont="1" applyAlignment="1">
      <alignment horizontal="center" vertical="top" wrapText="1"/>
    </xf>
    <xf numFmtId="43" fontId="2" fillId="0" borderId="0" xfId="3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Fill="1" applyAlignment="1">
      <alignment vertical="top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left" vertical="top"/>
    </xf>
    <xf numFmtId="164" fontId="2" fillId="3" borderId="1" xfId="3" applyNumberFormat="1" applyFont="1" applyFill="1" applyBorder="1" applyAlignment="1">
      <alignment horizontal="center" vertical="top"/>
    </xf>
    <xf numFmtId="0" fontId="2" fillId="3" borderId="1" xfId="0" applyNumberFormat="1" applyFont="1" applyFill="1" applyBorder="1" applyAlignment="1">
      <alignment horizontal="center" vertical="top"/>
    </xf>
    <xf numFmtId="0" fontId="2" fillId="0" borderId="0" xfId="3" applyNumberFormat="1" applyFont="1" applyFill="1" applyAlignment="1">
      <alignment vertical="top"/>
    </xf>
    <xf numFmtId="164" fontId="2" fillId="0" borderId="0" xfId="3" applyNumberFormat="1" applyFont="1" applyFill="1" applyAlignment="1">
      <alignment vertical="top"/>
    </xf>
    <xf numFmtId="9" fontId="2" fillId="0" borderId="0" xfId="4" applyNumberFormat="1" applyFont="1" applyFill="1" applyAlignment="1">
      <alignment vertical="top"/>
    </xf>
    <xf numFmtId="164" fontId="2" fillId="0" borderId="0" xfId="0" applyNumberFormat="1" applyFont="1" applyFill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64" fontId="2" fillId="0" borderId="1" xfId="3" applyNumberFormat="1" applyFont="1" applyFill="1" applyBorder="1" applyAlignment="1">
      <alignment horizontal="center" vertical="top"/>
    </xf>
    <xf numFmtId="0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Fill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3" borderId="1" xfId="0" applyFont="1" applyFill="1" applyBorder="1" applyAlignment="1">
      <alignment vertical="top"/>
    </xf>
    <xf numFmtId="0" fontId="2" fillId="5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left" vertical="top"/>
    </xf>
    <xf numFmtId="164" fontId="2" fillId="5" borderId="1" xfId="3" applyNumberFormat="1" applyFont="1" applyFill="1" applyBorder="1" applyAlignment="1">
      <alignment horizontal="center" vertical="top"/>
    </xf>
    <xf numFmtId="0" fontId="2" fillId="5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/>
    </xf>
    <xf numFmtId="164" fontId="2" fillId="2" borderId="1" xfId="3" applyNumberFormat="1" applyFont="1" applyFill="1" applyBorder="1" applyAlignment="1">
      <alignment horizontal="center" vertical="top"/>
    </xf>
    <xf numFmtId="0" fontId="2" fillId="2" borderId="1" xfId="0" applyNumberFormat="1" applyFont="1" applyFill="1" applyBorder="1" applyAlignment="1">
      <alignment horizontal="center" vertical="top"/>
    </xf>
    <xf numFmtId="0" fontId="2" fillId="5" borderId="0" xfId="0" applyFont="1" applyFill="1" applyAlignment="1">
      <alignment vertical="top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left" vertical="top"/>
    </xf>
    <xf numFmtId="164" fontId="2" fillId="4" borderId="1" xfId="3" applyNumberFormat="1" applyFont="1" applyFill="1" applyBorder="1" applyAlignment="1">
      <alignment horizontal="center" vertical="top"/>
    </xf>
    <xf numFmtId="0" fontId="2" fillId="4" borderId="1" xfId="0" applyNumberFormat="1" applyFont="1" applyFill="1" applyBorder="1" applyAlignment="1">
      <alignment horizontal="center" vertical="top"/>
    </xf>
    <xf numFmtId="43" fontId="2" fillId="0" borderId="0" xfId="3" applyFont="1" applyFill="1" applyAlignment="1">
      <alignment vertical="top"/>
    </xf>
    <xf numFmtId="43" fontId="2" fillId="0" borderId="0" xfId="3" applyFont="1" applyAlignment="1">
      <alignment vertical="top"/>
    </xf>
    <xf numFmtId="164" fontId="2" fillId="0" borderId="0" xfId="3" applyNumberFormat="1" applyFont="1" applyAlignment="1">
      <alignment vertical="top"/>
    </xf>
    <xf numFmtId="164" fontId="2" fillId="5" borderId="0" xfId="3" applyNumberFormat="1" applyFont="1" applyFill="1" applyAlignment="1">
      <alignment vertical="top"/>
    </xf>
    <xf numFmtId="164" fontId="3" fillId="0" borderId="0" xfId="3" applyNumberFormat="1" applyFont="1" applyFill="1" applyAlignment="1">
      <alignment vertical="top"/>
    </xf>
    <xf numFmtId="164" fontId="3" fillId="0" borderId="0" xfId="3" applyNumberFormat="1" applyFont="1" applyAlignment="1">
      <alignment vertical="top"/>
    </xf>
    <xf numFmtId="165" fontId="0" fillId="0" borderId="0" xfId="0" applyNumberFormat="1"/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164" fontId="2" fillId="0" borderId="0" xfId="3" applyNumberFormat="1" applyFont="1" applyAlignment="1">
      <alignment horizontal="center" vertical="top" wrapText="1"/>
    </xf>
    <xf numFmtId="0" fontId="3" fillId="0" borderId="0" xfId="0" applyFont="1" applyFill="1" applyAlignment="1">
      <alignment horizontal="center" vertical="top"/>
    </xf>
  </cellXfs>
  <cellStyles count="5">
    <cellStyle name="Comma" xfId="3" builtinId="3"/>
    <cellStyle name="Comma 2" xfId="2"/>
    <cellStyle name="Normal" xfId="0" builtinId="0"/>
    <cellStyle name="Normal 2" xfId="1"/>
    <cellStyle name="Percent" xfId="4" builtinId="5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</xdr:rowOff>
    </xdr:from>
    <xdr:to>
      <xdr:col>11</xdr:col>
      <xdr:colOff>246750</xdr:colOff>
      <xdr:row>24</xdr:row>
      <xdr:rowOff>178854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23" t="9171" r="2369" b="5691"/>
        <a:stretch/>
      </xdr:blipFill>
      <xdr:spPr>
        <a:xfrm>
          <a:off x="38100" y="1"/>
          <a:ext cx="7200000" cy="4750853"/>
        </a:xfrm>
        <a:prstGeom prst="rect">
          <a:avLst/>
        </a:prstGeom>
      </xdr:spPr>
    </xdr:pic>
    <xdr:clientData/>
  </xdr:twoCellAnchor>
  <xdr:twoCellAnchor editAs="oneCell">
    <xdr:from>
      <xdr:col>13</xdr:col>
      <xdr:colOff>509155</xdr:colOff>
      <xdr:row>2</xdr:row>
      <xdr:rowOff>76200</xdr:rowOff>
    </xdr:from>
    <xdr:to>
      <xdr:col>25</xdr:col>
      <xdr:colOff>393955</xdr:colOff>
      <xdr:row>21</xdr:row>
      <xdr:rowOff>65684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191" t="7526" r="2369" b="6396"/>
        <a:stretch/>
      </xdr:blipFill>
      <xdr:spPr>
        <a:xfrm>
          <a:off x="8719705" y="457200"/>
          <a:ext cx="7200000" cy="3608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208719</xdr:colOff>
      <xdr:row>17</xdr:row>
      <xdr:rowOff>28575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498" t="9643" r="4618" b="6632"/>
        <a:stretch/>
      </xdr:blipFill>
      <xdr:spPr>
        <a:xfrm>
          <a:off x="0" y="0"/>
          <a:ext cx="6304719" cy="32670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CPI%20Plant_Road,%20Pave,%20Wall,%20Drain,%20etc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0">
          <cell r="K30">
            <v>46718000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8"/>
  <sheetViews>
    <sheetView showGridLines="0" tabSelected="1" zoomScaleNormal="100" zoomScaleSheetLayoutView="100" workbookViewId="0">
      <pane xSplit="3" ySplit="3" topLeftCell="M4" activePane="bottomRight" state="frozen"/>
      <selection pane="topRight" activeCell="C1" sqref="C1"/>
      <selection pane="bottomLeft" activeCell="A3" sqref="A3"/>
      <selection pane="bottomRight" activeCell="O14" sqref="O14"/>
    </sheetView>
  </sheetViews>
  <sheetFormatPr defaultColWidth="9.28515625" defaultRowHeight="12.75"/>
  <cols>
    <col min="1" max="1" width="3.7109375" style="1" customWidth="1"/>
    <col min="2" max="2" width="3.28515625" style="2" bestFit="1" customWidth="1"/>
    <col min="3" max="3" width="28.42578125" style="5" bestFit="1" customWidth="1"/>
    <col min="4" max="4" width="8.7109375" style="2" bestFit="1" customWidth="1"/>
    <col min="5" max="6" width="13.28515625" style="9" customWidth="1"/>
    <col min="7" max="7" width="10.5703125" style="6" customWidth="1"/>
    <col min="8" max="8" width="11.85546875" style="6" bestFit="1" customWidth="1"/>
    <col min="9" max="9" width="11.28515625" style="5" hidden="1" customWidth="1"/>
    <col min="10" max="10" width="11" style="5" bestFit="1" customWidth="1"/>
    <col min="11" max="11" width="20.7109375" style="5" bestFit="1" customWidth="1"/>
    <col min="12" max="12" width="23.7109375" style="5" hidden="1" customWidth="1"/>
    <col min="13" max="13" width="31.7109375" style="5" bestFit="1" customWidth="1"/>
    <col min="14" max="14" width="9.28515625" style="19"/>
    <col min="15" max="15" width="10.28515625" style="19" bestFit="1" customWidth="1"/>
    <col min="16" max="16" width="9.28515625" style="19"/>
    <col min="17" max="17" width="11" style="20" customWidth="1"/>
    <col min="18" max="18" width="10.42578125" style="1" customWidth="1"/>
    <col min="19" max="19" width="11.5703125" style="1" customWidth="1"/>
    <col min="20" max="20" width="14.5703125" style="19" bestFit="1" customWidth="1"/>
    <col min="21" max="21" width="12.85546875" style="19" bestFit="1" customWidth="1"/>
    <col min="22" max="22" width="15.5703125" style="19" bestFit="1" customWidth="1"/>
    <col min="23" max="23" width="15.5703125" style="1" bestFit="1" customWidth="1"/>
    <col min="24" max="25" width="9.28515625" style="1"/>
    <col min="26" max="26" width="18.42578125" style="1" bestFit="1" customWidth="1"/>
    <col min="27" max="27" width="9.28515625" style="1"/>
    <col min="28" max="28" width="20" style="1" bestFit="1" customWidth="1"/>
    <col min="29" max="29" width="14.28515625" style="19" bestFit="1" customWidth="1"/>
    <col min="30" max="30" width="9.28515625" style="19"/>
    <col min="31" max="16384" width="9.28515625" style="1"/>
  </cols>
  <sheetData>
    <row r="1" spans="2:30">
      <c r="T1" s="25">
        <f>T2/10^7</f>
        <v>101.345841135</v>
      </c>
      <c r="U1" s="25"/>
      <c r="V1" s="25">
        <f>V2/10^7</f>
        <v>68.678208747225014</v>
      </c>
    </row>
    <row r="2" spans="2:30">
      <c r="F2" s="19">
        <f>SUM(F4:F60)</f>
        <v>63625</v>
      </c>
      <c r="G2" s="24">
        <f>F2*10.764</f>
        <v>684859.5</v>
      </c>
      <c r="O2" s="66" t="s">
        <v>141</v>
      </c>
      <c r="P2" s="66"/>
      <c r="R2" s="1" t="s">
        <v>141</v>
      </c>
      <c r="S2" s="1" t="s">
        <v>142</v>
      </c>
      <c r="T2" s="19">
        <f>SUM(T4:T60)</f>
        <v>1013458411.35</v>
      </c>
      <c r="U2" s="22">
        <v>2022</v>
      </c>
      <c r="V2" s="19">
        <f>SUM(V4:V60)</f>
        <v>686782087.4722501</v>
      </c>
      <c r="W2" s="19" t="e">
        <f>#REF!</f>
        <v>#REF!</v>
      </c>
    </row>
    <row r="3" spans="2:30" s="15" customFormat="1" ht="38.25">
      <c r="B3" s="10" t="s">
        <v>35</v>
      </c>
      <c r="C3" s="10" t="s">
        <v>7</v>
      </c>
      <c r="D3" s="10" t="s">
        <v>18</v>
      </c>
      <c r="E3" s="11" t="s">
        <v>130</v>
      </c>
      <c r="F3" s="12" t="s">
        <v>129</v>
      </c>
      <c r="G3" s="13" t="s">
        <v>131</v>
      </c>
      <c r="H3" s="13" t="s">
        <v>132</v>
      </c>
      <c r="I3" s="14" t="s">
        <v>11</v>
      </c>
      <c r="J3" s="14" t="s">
        <v>12</v>
      </c>
      <c r="K3" s="14" t="s">
        <v>13</v>
      </c>
      <c r="L3" s="14" t="s">
        <v>19</v>
      </c>
      <c r="M3" s="14" t="s">
        <v>21</v>
      </c>
      <c r="N3" s="23" t="s">
        <v>133</v>
      </c>
      <c r="O3" s="18" t="s">
        <v>134</v>
      </c>
      <c r="P3" s="18" t="s">
        <v>135</v>
      </c>
      <c r="Q3" s="21" t="s">
        <v>137</v>
      </c>
      <c r="R3" s="15" t="s">
        <v>136</v>
      </c>
      <c r="S3" s="23" t="s">
        <v>136</v>
      </c>
      <c r="T3" s="23" t="s">
        <v>138</v>
      </c>
      <c r="U3" s="23" t="s">
        <v>139</v>
      </c>
      <c r="V3" s="23" t="s">
        <v>140</v>
      </c>
      <c r="AC3" s="18"/>
      <c r="AD3" s="18"/>
    </row>
    <row r="4" spans="2:30" s="27" customFormat="1">
      <c r="B4" s="28">
        <v>1</v>
      </c>
      <c r="C4" s="29" t="s">
        <v>114</v>
      </c>
      <c r="D4" s="28" t="s">
        <v>107</v>
      </c>
      <c r="E4" s="30">
        <v>1140</v>
      </c>
      <c r="F4" s="30">
        <v>1590</v>
      </c>
      <c r="G4" s="30">
        <v>22.8</v>
      </c>
      <c r="H4" s="31">
        <v>2</v>
      </c>
      <c r="I4" s="29" t="s">
        <v>22</v>
      </c>
      <c r="J4" s="29" t="s">
        <v>53</v>
      </c>
      <c r="K4" s="29" t="s">
        <v>45</v>
      </c>
      <c r="L4" s="29" t="s">
        <v>38</v>
      </c>
      <c r="M4" s="29" t="s">
        <v>23</v>
      </c>
      <c r="N4" s="32">
        <v>2010</v>
      </c>
      <c r="O4" s="33">
        <v>17640</v>
      </c>
      <c r="P4" s="33">
        <f>O4*1.1</f>
        <v>19404</v>
      </c>
      <c r="Q4" s="34">
        <v>0.85</v>
      </c>
      <c r="R4" s="35">
        <f>Q4*P4</f>
        <v>16493.399999999998</v>
      </c>
      <c r="S4" s="35">
        <f>R4/10.764</f>
        <v>1532.2742474916388</v>
      </c>
      <c r="T4" s="33">
        <f>R4*F4</f>
        <v>26224505.999999996</v>
      </c>
      <c r="U4" s="33">
        <f>T4*($U$2-N4)*2%</f>
        <v>6293881.4399999985</v>
      </c>
      <c r="V4" s="33">
        <f>T4-U4</f>
        <v>19930624.559999999</v>
      </c>
      <c r="AC4" s="33"/>
      <c r="AD4" s="33"/>
    </row>
    <row r="5" spans="2:30" s="27" customFormat="1">
      <c r="B5" s="28">
        <f>B4+1</f>
        <v>2</v>
      </c>
      <c r="C5" s="29" t="s">
        <v>115</v>
      </c>
      <c r="D5" s="28" t="s">
        <v>107</v>
      </c>
      <c r="E5" s="30">
        <v>1060</v>
      </c>
      <c r="F5" s="30">
        <v>1060</v>
      </c>
      <c r="G5" s="30">
        <v>13.5</v>
      </c>
      <c r="H5" s="31">
        <v>1</v>
      </c>
      <c r="I5" s="29" t="s">
        <v>22</v>
      </c>
      <c r="J5" s="29" t="s">
        <v>53</v>
      </c>
      <c r="K5" s="29" t="s">
        <v>45</v>
      </c>
      <c r="L5" s="29" t="s">
        <v>4</v>
      </c>
      <c r="M5" s="29" t="s">
        <v>23</v>
      </c>
      <c r="N5" s="32">
        <v>2010</v>
      </c>
      <c r="O5" s="33">
        <v>17640</v>
      </c>
      <c r="P5" s="33">
        <f t="shared" ref="P5:P60" si="0">O5*1.1</f>
        <v>19404</v>
      </c>
      <c r="Q5" s="34">
        <v>0.7</v>
      </c>
      <c r="R5" s="35">
        <f t="shared" ref="R5:R60" si="1">Q5*P5</f>
        <v>13582.8</v>
      </c>
      <c r="S5" s="35">
        <f t="shared" ref="S5:S60" si="2">R5/10.764</f>
        <v>1261.8729096989966</v>
      </c>
      <c r="T5" s="33">
        <f t="shared" ref="T5:T60" si="3">R5*F5</f>
        <v>14397768</v>
      </c>
      <c r="U5" s="33">
        <f t="shared" ref="U5:U6" si="4">T5*($U$2-N5)*2%</f>
        <v>3455464.3200000003</v>
      </c>
      <c r="V5" s="33">
        <f t="shared" ref="V5:V6" si="5">T5-U5</f>
        <v>10942303.68</v>
      </c>
      <c r="AC5" s="33"/>
      <c r="AD5" s="33"/>
    </row>
    <row r="6" spans="2:30" s="27" customFormat="1">
      <c r="B6" s="28">
        <f>B5+1</f>
        <v>3</v>
      </c>
      <c r="C6" s="29" t="s">
        <v>124</v>
      </c>
      <c r="D6" s="28" t="s">
        <v>107</v>
      </c>
      <c r="E6" s="30">
        <v>686</v>
      </c>
      <c r="F6" s="30">
        <v>846</v>
      </c>
      <c r="G6" s="30">
        <v>12.5</v>
      </c>
      <c r="H6" s="31">
        <v>1</v>
      </c>
      <c r="I6" s="29" t="s">
        <v>22</v>
      </c>
      <c r="J6" s="29" t="s">
        <v>53</v>
      </c>
      <c r="K6" s="29" t="s">
        <v>45</v>
      </c>
      <c r="L6" s="29" t="s">
        <v>38</v>
      </c>
      <c r="M6" s="29" t="s">
        <v>23</v>
      </c>
      <c r="N6" s="32">
        <v>2010</v>
      </c>
      <c r="O6" s="33">
        <v>17640</v>
      </c>
      <c r="P6" s="33">
        <f t="shared" si="0"/>
        <v>19404</v>
      </c>
      <c r="Q6" s="34">
        <v>0.7</v>
      </c>
      <c r="R6" s="35">
        <f t="shared" si="1"/>
        <v>13582.8</v>
      </c>
      <c r="S6" s="35">
        <f t="shared" si="2"/>
        <v>1261.8729096989966</v>
      </c>
      <c r="T6" s="33">
        <f t="shared" si="3"/>
        <v>11491048.799999999</v>
      </c>
      <c r="U6" s="33">
        <f t="shared" si="4"/>
        <v>2757851.7119999998</v>
      </c>
      <c r="V6" s="33">
        <f t="shared" si="5"/>
        <v>8733197.0879999995</v>
      </c>
      <c r="AC6" s="33"/>
      <c r="AD6" s="33"/>
    </row>
    <row r="7" spans="2:30" s="27" customFormat="1">
      <c r="B7" s="28">
        <f>B6+1</f>
        <v>4</v>
      </c>
      <c r="C7" s="29" t="s">
        <v>113</v>
      </c>
      <c r="D7" s="28" t="s">
        <v>107</v>
      </c>
      <c r="E7" s="30">
        <v>486</v>
      </c>
      <c r="F7" s="30">
        <v>486</v>
      </c>
      <c r="G7" s="30">
        <v>8.5</v>
      </c>
      <c r="H7" s="31">
        <v>8</v>
      </c>
      <c r="I7" s="29" t="s">
        <v>22</v>
      </c>
      <c r="J7" s="29" t="s">
        <v>15</v>
      </c>
      <c r="K7" s="29" t="s">
        <v>16</v>
      </c>
      <c r="L7" s="29" t="s">
        <v>123</v>
      </c>
      <c r="M7" s="29" t="s">
        <v>4</v>
      </c>
      <c r="N7" s="32">
        <v>2010</v>
      </c>
      <c r="O7" s="33">
        <v>20685</v>
      </c>
      <c r="P7" s="33">
        <f t="shared" si="0"/>
        <v>22753.500000000004</v>
      </c>
      <c r="Q7" s="34">
        <v>0.7</v>
      </c>
      <c r="R7" s="35">
        <f t="shared" si="1"/>
        <v>15927.45</v>
      </c>
      <c r="S7" s="35">
        <f t="shared" si="2"/>
        <v>1479.6962095875142</v>
      </c>
      <c r="T7" s="33">
        <f t="shared" si="3"/>
        <v>7740740.7000000002</v>
      </c>
      <c r="U7" s="33">
        <f>T7*($U$2-N7)*1.5%</f>
        <v>1393333.3260000001</v>
      </c>
      <c r="V7" s="33">
        <f>T7-U7</f>
        <v>6347407.3739999998</v>
      </c>
      <c r="Z7" s="26" t="s">
        <v>143</v>
      </c>
      <c r="AC7" s="33"/>
      <c r="AD7" s="33"/>
    </row>
    <row r="8" spans="2:30" s="26" customFormat="1">
      <c r="B8" s="28">
        <f>B7+1</f>
        <v>5</v>
      </c>
      <c r="C8" s="29" t="s">
        <v>112</v>
      </c>
      <c r="D8" s="28" t="s">
        <v>107</v>
      </c>
      <c r="E8" s="30">
        <v>360</v>
      </c>
      <c r="F8" s="30">
        <v>360</v>
      </c>
      <c r="G8" s="30">
        <v>4.7</v>
      </c>
      <c r="H8" s="31">
        <v>4</v>
      </c>
      <c r="I8" s="29" t="s">
        <v>22</v>
      </c>
      <c r="J8" s="29" t="s">
        <v>15</v>
      </c>
      <c r="K8" s="29" t="s">
        <v>16</v>
      </c>
      <c r="L8" s="29" t="s">
        <v>122</v>
      </c>
      <c r="M8" s="29" t="s">
        <v>121</v>
      </c>
      <c r="N8" s="32">
        <v>2010</v>
      </c>
      <c r="O8" s="33">
        <v>20685</v>
      </c>
      <c r="P8" s="33">
        <f t="shared" si="0"/>
        <v>22753.500000000004</v>
      </c>
      <c r="Q8" s="34">
        <v>0.65</v>
      </c>
      <c r="R8" s="35">
        <f t="shared" si="1"/>
        <v>14789.775000000003</v>
      </c>
      <c r="S8" s="35">
        <f t="shared" si="2"/>
        <v>1374.0036231884062</v>
      </c>
      <c r="T8" s="33">
        <f t="shared" si="3"/>
        <v>5324319.0000000009</v>
      </c>
      <c r="U8" s="33">
        <f t="shared" ref="U8:U9" si="6">T8*($U$2-N8)*1.5%</f>
        <v>958377.42000000016</v>
      </c>
      <c r="V8" s="33">
        <f t="shared" ref="V8:V9" si="7">T8-U8</f>
        <v>4365941.580000001</v>
      </c>
      <c r="AA8" s="26" t="s">
        <v>146</v>
      </c>
      <c r="AB8" s="26" t="s">
        <v>147</v>
      </c>
      <c r="AC8" s="58"/>
      <c r="AD8" s="58"/>
    </row>
    <row r="9" spans="2:30" s="27" customFormat="1">
      <c r="B9" s="28">
        <f>B8+1</f>
        <v>6</v>
      </c>
      <c r="C9" s="29" t="s">
        <v>120</v>
      </c>
      <c r="D9" s="28" t="s">
        <v>107</v>
      </c>
      <c r="E9" s="30">
        <v>138</v>
      </c>
      <c r="F9" s="30">
        <v>138</v>
      </c>
      <c r="G9" s="30">
        <v>5.2750000000000004</v>
      </c>
      <c r="H9" s="31">
        <v>5</v>
      </c>
      <c r="I9" s="29" t="s">
        <v>14</v>
      </c>
      <c r="J9" s="29" t="s">
        <v>15</v>
      </c>
      <c r="K9" s="29" t="s">
        <v>16</v>
      </c>
      <c r="L9" s="29" t="s">
        <v>123</v>
      </c>
      <c r="M9" s="29" t="s">
        <v>4</v>
      </c>
      <c r="N9" s="32">
        <v>2010</v>
      </c>
      <c r="O9" s="33">
        <v>20685</v>
      </c>
      <c r="P9" s="33">
        <f t="shared" si="0"/>
        <v>22753.500000000004</v>
      </c>
      <c r="Q9" s="34">
        <v>0.7</v>
      </c>
      <c r="R9" s="35">
        <f t="shared" si="1"/>
        <v>15927.45</v>
      </c>
      <c r="S9" s="35">
        <f t="shared" si="2"/>
        <v>1479.6962095875142</v>
      </c>
      <c r="T9" s="33">
        <f t="shared" si="3"/>
        <v>2197988.1</v>
      </c>
      <c r="U9" s="33">
        <f t="shared" si="6"/>
        <v>395637.85800000001</v>
      </c>
      <c r="V9" s="33">
        <f t="shared" si="7"/>
        <v>1802350.2420000001</v>
      </c>
      <c r="Z9" s="27" t="s">
        <v>144</v>
      </c>
      <c r="AA9" s="27">
        <v>101.82</v>
      </c>
      <c r="AB9" s="33">
        <f>10*10^5</f>
        <v>1000000</v>
      </c>
      <c r="AC9" s="33">
        <f>AB9*AA9</f>
        <v>101820000</v>
      </c>
      <c r="AD9" s="33">
        <f>AB9/4047</f>
        <v>247.09661477637755</v>
      </c>
    </row>
    <row r="10" spans="2:30" s="27" customFormat="1">
      <c r="B10" s="36">
        <v>1</v>
      </c>
      <c r="C10" s="37" t="s">
        <v>37</v>
      </c>
      <c r="D10" s="36" t="s">
        <v>24</v>
      </c>
      <c r="E10" s="38">
        <v>608</v>
      </c>
      <c r="F10" s="38">
        <v>1088</v>
      </c>
      <c r="G10" s="38">
        <v>20.95</v>
      </c>
      <c r="H10" s="39">
        <v>2</v>
      </c>
      <c r="I10" s="37" t="s">
        <v>22</v>
      </c>
      <c r="J10" s="37" t="s">
        <v>72</v>
      </c>
      <c r="K10" s="37" t="s">
        <v>28</v>
      </c>
      <c r="L10" s="37" t="s">
        <v>38</v>
      </c>
      <c r="M10" s="37" t="s">
        <v>23</v>
      </c>
      <c r="N10" s="32">
        <v>2000</v>
      </c>
      <c r="O10" s="33">
        <v>17640</v>
      </c>
      <c r="P10" s="33">
        <f t="shared" si="0"/>
        <v>19404</v>
      </c>
      <c r="Q10" s="34">
        <v>0.75</v>
      </c>
      <c r="R10" s="35">
        <f t="shared" si="1"/>
        <v>14553</v>
      </c>
      <c r="S10" s="35">
        <f t="shared" si="2"/>
        <v>1352.0066889632108</v>
      </c>
      <c r="T10" s="33">
        <f t="shared" si="3"/>
        <v>15833664</v>
      </c>
      <c r="U10" s="33">
        <f t="shared" ref="U10:U12" si="8">T10*($U$2-N10)*2%</f>
        <v>6966812.1600000001</v>
      </c>
      <c r="V10" s="33">
        <f>T10-U10</f>
        <v>8866851.8399999999</v>
      </c>
      <c r="Z10" s="27" t="s">
        <v>145</v>
      </c>
      <c r="AA10" s="27">
        <v>207.37</v>
      </c>
      <c r="AB10" s="33">
        <f>5*10^5</f>
        <v>500000</v>
      </c>
      <c r="AC10" s="33">
        <f>AB10*AA10</f>
        <v>103685000</v>
      </c>
      <c r="AD10" s="33">
        <f>AB10/4047</f>
        <v>123.54830738818877</v>
      </c>
    </row>
    <row r="11" spans="2:30" s="27" customFormat="1">
      <c r="B11" s="36">
        <f t="shared" ref="B11:B29" si="9">B10+1</f>
        <v>2</v>
      </c>
      <c r="C11" s="37" t="s">
        <v>33</v>
      </c>
      <c r="D11" s="36" t="s">
        <v>24</v>
      </c>
      <c r="E11" s="38">
        <v>306</v>
      </c>
      <c r="F11" s="38">
        <v>459</v>
      </c>
      <c r="G11" s="38">
        <v>12.45</v>
      </c>
      <c r="H11" s="39">
        <v>1</v>
      </c>
      <c r="I11" s="37" t="s">
        <v>22</v>
      </c>
      <c r="J11" s="37" t="s">
        <v>15</v>
      </c>
      <c r="K11" s="37" t="s">
        <v>16</v>
      </c>
      <c r="L11" s="37" t="s">
        <v>46</v>
      </c>
      <c r="M11" s="37" t="s">
        <v>125</v>
      </c>
      <c r="N11" s="32">
        <v>2000</v>
      </c>
      <c r="O11" s="33">
        <v>20685</v>
      </c>
      <c r="P11" s="33">
        <f t="shared" si="0"/>
        <v>22753.500000000004</v>
      </c>
      <c r="Q11" s="34">
        <v>0.75</v>
      </c>
      <c r="R11" s="35">
        <f t="shared" si="1"/>
        <v>17065.125000000004</v>
      </c>
      <c r="S11" s="35">
        <f t="shared" si="2"/>
        <v>1585.3887959866224</v>
      </c>
      <c r="T11" s="33">
        <f t="shared" si="3"/>
        <v>7832892.3750000019</v>
      </c>
      <c r="U11" s="33">
        <f>T11*($U$2-N11)*1.5%</f>
        <v>2584854.4837500001</v>
      </c>
      <c r="V11" s="33">
        <f>T11-U11</f>
        <v>5248037.8912500013</v>
      </c>
      <c r="AC11" s="33"/>
      <c r="AD11" s="33"/>
    </row>
    <row r="12" spans="2:30" s="27" customFormat="1">
      <c r="B12" s="36">
        <f t="shared" si="9"/>
        <v>3</v>
      </c>
      <c r="C12" s="40" t="s">
        <v>0</v>
      </c>
      <c r="D12" s="36" t="s">
        <v>24</v>
      </c>
      <c r="E12" s="38">
        <v>96</v>
      </c>
      <c r="F12" s="38">
        <v>161</v>
      </c>
      <c r="G12" s="38">
        <v>12.25</v>
      </c>
      <c r="H12" s="39">
        <v>1</v>
      </c>
      <c r="I12" s="37" t="s">
        <v>22</v>
      </c>
      <c r="J12" s="37" t="s">
        <v>72</v>
      </c>
      <c r="K12" s="37" t="s">
        <v>44</v>
      </c>
      <c r="L12" s="37" t="s">
        <v>73</v>
      </c>
      <c r="M12" s="37" t="s">
        <v>49</v>
      </c>
      <c r="N12" s="32">
        <v>2000</v>
      </c>
      <c r="O12" s="33">
        <v>17640</v>
      </c>
      <c r="P12" s="33">
        <f t="shared" si="0"/>
        <v>19404</v>
      </c>
      <c r="Q12" s="34">
        <v>0.7</v>
      </c>
      <c r="R12" s="35">
        <f t="shared" si="1"/>
        <v>13582.8</v>
      </c>
      <c r="S12" s="35">
        <f t="shared" si="2"/>
        <v>1261.8729096989966</v>
      </c>
      <c r="T12" s="33">
        <f t="shared" si="3"/>
        <v>2186830.7999999998</v>
      </c>
      <c r="U12" s="33">
        <f t="shared" si="8"/>
        <v>962205.55199999991</v>
      </c>
      <c r="V12" s="33">
        <f>T12-U12</f>
        <v>1224625.2479999999</v>
      </c>
      <c r="Z12" s="27" t="s">
        <v>156</v>
      </c>
      <c r="AC12" s="33">
        <f>[1]Sheet1!$K$30</f>
        <v>46718000</v>
      </c>
      <c r="AD12" s="33"/>
    </row>
    <row r="13" spans="2:30" s="27" customFormat="1">
      <c r="B13" s="36">
        <f t="shared" si="9"/>
        <v>4</v>
      </c>
      <c r="C13" s="37" t="s">
        <v>6</v>
      </c>
      <c r="D13" s="36" t="s">
        <v>24</v>
      </c>
      <c r="E13" s="38">
        <v>150</v>
      </c>
      <c r="F13" s="38">
        <v>150</v>
      </c>
      <c r="G13" s="38">
        <v>7</v>
      </c>
      <c r="H13" s="39">
        <v>7</v>
      </c>
      <c r="I13" s="37" t="s">
        <v>14</v>
      </c>
      <c r="J13" s="37" t="s">
        <v>15</v>
      </c>
      <c r="K13" s="37" t="s">
        <v>16</v>
      </c>
      <c r="L13" s="37" t="s">
        <v>20</v>
      </c>
      <c r="M13" s="37" t="s">
        <v>34</v>
      </c>
      <c r="N13" s="32">
        <v>2000</v>
      </c>
      <c r="O13" s="33">
        <v>20685</v>
      </c>
      <c r="P13" s="33">
        <f t="shared" si="0"/>
        <v>22753.500000000004</v>
      </c>
      <c r="Q13" s="34">
        <v>0.7</v>
      </c>
      <c r="R13" s="35">
        <f t="shared" si="1"/>
        <v>15927.45</v>
      </c>
      <c r="S13" s="35">
        <f t="shared" si="2"/>
        <v>1479.6962095875142</v>
      </c>
      <c r="T13" s="33">
        <f t="shared" si="3"/>
        <v>2389117.5</v>
      </c>
      <c r="U13" s="33">
        <f>T13*($U$2-N13)*1.5%</f>
        <v>788408.77500000002</v>
      </c>
      <c r="V13" s="33">
        <f>T13-U13</f>
        <v>1600708.7250000001</v>
      </c>
      <c r="Z13" s="67" t="s">
        <v>148</v>
      </c>
      <c r="AA13" s="67"/>
      <c r="AB13" s="67"/>
      <c r="AC13" s="60" t="e">
        <f>W2</f>
        <v>#REF!</v>
      </c>
      <c r="AD13" s="56" t="e">
        <f>AC13/10^7</f>
        <v>#REF!</v>
      </c>
    </row>
    <row r="14" spans="2:30" s="26" customFormat="1">
      <c r="B14" s="36">
        <f t="shared" si="9"/>
        <v>5</v>
      </c>
      <c r="C14" s="37" t="s">
        <v>9</v>
      </c>
      <c r="D14" s="36" t="s">
        <v>24</v>
      </c>
      <c r="E14" s="38">
        <v>72</v>
      </c>
      <c r="F14" s="38">
        <v>72</v>
      </c>
      <c r="G14" s="38">
        <v>9.5</v>
      </c>
      <c r="H14" s="39">
        <v>9</v>
      </c>
      <c r="I14" s="37" t="s">
        <v>22</v>
      </c>
      <c r="J14" s="29" t="s">
        <v>53</v>
      </c>
      <c r="K14" s="37" t="s">
        <v>28</v>
      </c>
      <c r="L14" s="37" t="s">
        <v>4</v>
      </c>
      <c r="M14" s="37" t="s">
        <v>23</v>
      </c>
      <c r="N14" s="32">
        <v>2000</v>
      </c>
      <c r="O14" s="33">
        <v>17640</v>
      </c>
      <c r="P14" s="33">
        <f t="shared" si="0"/>
        <v>19404</v>
      </c>
      <c r="Q14" s="34">
        <v>0.6</v>
      </c>
      <c r="R14" s="35">
        <f t="shared" si="1"/>
        <v>11642.4</v>
      </c>
      <c r="S14" s="35">
        <f t="shared" si="2"/>
        <v>1081.6053511705686</v>
      </c>
      <c r="T14" s="33">
        <f t="shared" si="3"/>
        <v>838252.79999999993</v>
      </c>
      <c r="U14" s="33">
        <f>T14*($U$2-N14)*2%</f>
        <v>368831.23199999996</v>
      </c>
      <c r="V14" s="33">
        <f>T14-U14</f>
        <v>469421.56799999997</v>
      </c>
      <c r="Z14" s="67" t="s">
        <v>149</v>
      </c>
      <c r="AA14" s="67"/>
      <c r="AB14" s="67"/>
      <c r="AC14" s="58">
        <f>V2</f>
        <v>686782087.4722501</v>
      </c>
      <c r="AD14" s="58"/>
    </row>
    <row r="15" spans="2:30" s="26" customFormat="1">
      <c r="B15" s="36">
        <f t="shared" si="9"/>
        <v>6</v>
      </c>
      <c r="C15" s="37" t="s">
        <v>31</v>
      </c>
      <c r="D15" s="36" t="s">
        <v>30</v>
      </c>
      <c r="E15" s="38">
        <v>325</v>
      </c>
      <c r="F15" s="38">
        <v>325</v>
      </c>
      <c r="G15" s="38">
        <v>9.1</v>
      </c>
      <c r="H15" s="39">
        <v>9</v>
      </c>
      <c r="I15" s="37" t="s">
        <v>22</v>
      </c>
      <c r="J15" s="37" t="s">
        <v>15</v>
      </c>
      <c r="K15" s="37" t="s">
        <v>16</v>
      </c>
      <c r="L15" s="37" t="s">
        <v>20</v>
      </c>
      <c r="M15" s="37" t="s">
        <v>48</v>
      </c>
      <c r="N15" s="32">
        <v>2000</v>
      </c>
      <c r="O15" s="33">
        <v>20685</v>
      </c>
      <c r="P15" s="33">
        <f t="shared" si="0"/>
        <v>22753.500000000004</v>
      </c>
      <c r="Q15" s="34">
        <v>0.7</v>
      </c>
      <c r="R15" s="35">
        <f t="shared" si="1"/>
        <v>15927.45</v>
      </c>
      <c r="S15" s="35">
        <f t="shared" si="2"/>
        <v>1479.6962095875142</v>
      </c>
      <c r="T15" s="33">
        <f t="shared" si="3"/>
        <v>5176421.25</v>
      </c>
      <c r="U15" s="33">
        <f t="shared" ref="U15:U17" si="10">T15*($U$2-N15)*1.5%</f>
        <v>1708219.0125</v>
      </c>
      <c r="V15" s="33">
        <f t="shared" ref="V15:V17" si="11">T15-U15</f>
        <v>3468202.2374999998</v>
      </c>
      <c r="Z15" s="67" t="s">
        <v>150</v>
      </c>
      <c r="AA15" s="67"/>
      <c r="AB15" s="67"/>
      <c r="AC15" s="61" t="e">
        <f>AC14+AC13</f>
        <v>#REF!</v>
      </c>
      <c r="AD15" s="56" t="e">
        <f>AC15/10^7</f>
        <v>#REF!</v>
      </c>
    </row>
    <row r="16" spans="2:30" s="26" customFormat="1">
      <c r="B16" s="36">
        <f t="shared" si="9"/>
        <v>7</v>
      </c>
      <c r="C16" s="40" t="s">
        <v>50</v>
      </c>
      <c r="D16" s="36" t="s">
        <v>26</v>
      </c>
      <c r="E16" s="38">
        <v>125</v>
      </c>
      <c r="F16" s="38">
        <v>125</v>
      </c>
      <c r="G16" s="38">
        <v>5</v>
      </c>
      <c r="H16" s="39">
        <v>5</v>
      </c>
      <c r="I16" s="40" t="s">
        <v>14</v>
      </c>
      <c r="J16" s="40" t="s">
        <v>15</v>
      </c>
      <c r="K16" s="37" t="s">
        <v>44</v>
      </c>
      <c r="L16" s="40" t="s">
        <v>51</v>
      </c>
      <c r="M16" s="37" t="s">
        <v>49</v>
      </c>
      <c r="N16" s="32">
        <v>2000</v>
      </c>
      <c r="O16" s="33">
        <v>20685</v>
      </c>
      <c r="P16" s="33">
        <f t="shared" si="0"/>
        <v>22753.500000000004</v>
      </c>
      <c r="Q16" s="34">
        <v>0.7</v>
      </c>
      <c r="R16" s="35">
        <f t="shared" si="1"/>
        <v>15927.45</v>
      </c>
      <c r="S16" s="35">
        <f t="shared" si="2"/>
        <v>1479.6962095875142</v>
      </c>
      <c r="T16" s="33">
        <f t="shared" si="3"/>
        <v>1990931.25</v>
      </c>
      <c r="U16" s="33">
        <f t="shared" si="10"/>
        <v>657007.3125</v>
      </c>
      <c r="V16" s="33">
        <f t="shared" si="11"/>
        <v>1333923.9375</v>
      </c>
      <c r="AC16" s="58"/>
      <c r="AD16" s="58"/>
    </row>
    <row r="17" spans="2:30" s="26" customFormat="1">
      <c r="B17" s="36">
        <f t="shared" si="9"/>
        <v>8</v>
      </c>
      <c r="C17" s="29" t="s">
        <v>100</v>
      </c>
      <c r="D17" s="28" t="s">
        <v>26</v>
      </c>
      <c r="E17" s="30">
        <v>1600</v>
      </c>
      <c r="F17" s="30">
        <v>1914</v>
      </c>
      <c r="G17" s="30">
        <v>13.35</v>
      </c>
      <c r="H17" s="31">
        <v>1</v>
      </c>
      <c r="I17" s="29" t="s">
        <v>22</v>
      </c>
      <c r="J17" s="29" t="s">
        <v>15</v>
      </c>
      <c r="K17" s="29" t="s">
        <v>16</v>
      </c>
      <c r="L17" s="29" t="s">
        <v>81</v>
      </c>
      <c r="M17" s="29" t="s">
        <v>101</v>
      </c>
      <c r="N17" s="32">
        <v>2010</v>
      </c>
      <c r="O17" s="33">
        <v>20685</v>
      </c>
      <c r="P17" s="33">
        <f t="shared" si="0"/>
        <v>22753.500000000004</v>
      </c>
      <c r="Q17" s="34">
        <v>0.75</v>
      </c>
      <c r="R17" s="35">
        <f t="shared" si="1"/>
        <v>17065.125000000004</v>
      </c>
      <c r="S17" s="35">
        <f t="shared" si="2"/>
        <v>1585.3887959866224</v>
      </c>
      <c r="T17" s="33">
        <f t="shared" si="3"/>
        <v>32662649.250000007</v>
      </c>
      <c r="U17" s="33">
        <f t="shared" si="10"/>
        <v>5879276.8650000012</v>
      </c>
      <c r="V17" s="33">
        <f t="shared" si="11"/>
        <v>26783372.385000005</v>
      </c>
      <c r="AC17" s="58"/>
      <c r="AD17" s="58"/>
    </row>
    <row r="18" spans="2:30" s="26" customFormat="1">
      <c r="B18" s="36">
        <f t="shared" si="9"/>
        <v>9</v>
      </c>
      <c r="C18" s="37" t="s">
        <v>43</v>
      </c>
      <c r="D18" s="36" t="s">
        <v>26</v>
      </c>
      <c r="E18" s="38">
        <v>240</v>
      </c>
      <c r="F18" s="38">
        <v>480</v>
      </c>
      <c r="G18" s="38">
        <v>18.5</v>
      </c>
      <c r="H18" s="39">
        <v>1</v>
      </c>
      <c r="I18" s="37" t="s">
        <v>22</v>
      </c>
      <c r="J18" s="37" t="s">
        <v>72</v>
      </c>
      <c r="K18" s="37" t="s">
        <v>44</v>
      </c>
      <c r="L18" s="37" t="s">
        <v>73</v>
      </c>
      <c r="M18" s="37" t="s">
        <v>23</v>
      </c>
      <c r="N18" s="32">
        <v>2000</v>
      </c>
      <c r="O18" s="33">
        <v>17640</v>
      </c>
      <c r="P18" s="33">
        <f t="shared" si="0"/>
        <v>19404</v>
      </c>
      <c r="Q18" s="34">
        <v>0.75</v>
      </c>
      <c r="R18" s="35">
        <f t="shared" si="1"/>
        <v>14553</v>
      </c>
      <c r="S18" s="35">
        <f t="shared" si="2"/>
        <v>1352.0066889632108</v>
      </c>
      <c r="T18" s="33">
        <f t="shared" si="3"/>
        <v>6985440</v>
      </c>
      <c r="U18" s="33">
        <f t="shared" ref="U18:U23" si="12">T18*($U$2-N18)*2%</f>
        <v>3073593.6</v>
      </c>
      <c r="V18" s="33">
        <f>T18-U18</f>
        <v>3911846.4</v>
      </c>
      <c r="AC18" s="57" t="e">
        <f>AD13+T1</f>
        <v>#REF!</v>
      </c>
      <c r="AD18" s="58"/>
    </row>
    <row r="19" spans="2:30" s="26" customFormat="1">
      <c r="B19" s="36">
        <f t="shared" si="9"/>
        <v>10</v>
      </c>
      <c r="C19" s="37" t="s">
        <v>10</v>
      </c>
      <c r="D19" s="36" t="s">
        <v>26</v>
      </c>
      <c r="E19" s="38">
        <v>333</v>
      </c>
      <c r="F19" s="38">
        <v>333</v>
      </c>
      <c r="G19" s="38">
        <v>7.9</v>
      </c>
      <c r="H19" s="39">
        <v>7</v>
      </c>
      <c r="I19" s="37" t="s">
        <v>22</v>
      </c>
      <c r="J19" s="37" t="s">
        <v>15</v>
      </c>
      <c r="K19" s="37" t="s">
        <v>16</v>
      </c>
      <c r="L19" s="37" t="s">
        <v>4</v>
      </c>
      <c r="M19" s="37" t="s">
        <v>23</v>
      </c>
      <c r="N19" s="32">
        <v>2000</v>
      </c>
      <c r="O19" s="33">
        <v>20685</v>
      </c>
      <c r="P19" s="33">
        <f t="shared" si="0"/>
        <v>22753.500000000004</v>
      </c>
      <c r="Q19" s="34">
        <v>0.7</v>
      </c>
      <c r="R19" s="35">
        <f t="shared" si="1"/>
        <v>15927.45</v>
      </c>
      <c r="S19" s="35">
        <f t="shared" si="2"/>
        <v>1479.6962095875142</v>
      </c>
      <c r="T19" s="33">
        <f t="shared" si="3"/>
        <v>5303840.8500000006</v>
      </c>
      <c r="U19" s="33">
        <f t="shared" ref="U19:U21" si="13">T19*($U$2-N19)*1.5%</f>
        <v>1750267.4805000003</v>
      </c>
      <c r="V19" s="33">
        <f t="shared" ref="V19:V23" si="14">T19-U19</f>
        <v>3553573.3695</v>
      </c>
      <c r="AC19" s="58"/>
      <c r="AD19" s="58"/>
    </row>
    <row r="20" spans="2:30" s="26" customFormat="1">
      <c r="B20" s="36">
        <f t="shared" si="9"/>
        <v>11</v>
      </c>
      <c r="C20" s="37" t="s">
        <v>32</v>
      </c>
      <c r="D20" s="36" t="s">
        <v>26</v>
      </c>
      <c r="E20" s="38">
        <v>312</v>
      </c>
      <c r="F20" s="38">
        <v>312</v>
      </c>
      <c r="G20" s="38">
        <v>9.1</v>
      </c>
      <c r="H20" s="39">
        <v>9</v>
      </c>
      <c r="I20" s="37" t="s">
        <v>22</v>
      </c>
      <c r="J20" s="37" t="s">
        <v>15</v>
      </c>
      <c r="K20" s="37" t="s">
        <v>16</v>
      </c>
      <c r="L20" s="37" t="s">
        <v>20</v>
      </c>
      <c r="M20" s="37" t="s">
        <v>34</v>
      </c>
      <c r="N20" s="32">
        <v>2000</v>
      </c>
      <c r="O20" s="33">
        <v>20685</v>
      </c>
      <c r="P20" s="33">
        <f t="shared" si="0"/>
        <v>22753.500000000004</v>
      </c>
      <c r="Q20" s="34">
        <v>0.7</v>
      </c>
      <c r="R20" s="35">
        <f t="shared" si="1"/>
        <v>15927.45</v>
      </c>
      <c r="S20" s="35">
        <f t="shared" si="2"/>
        <v>1479.6962095875142</v>
      </c>
      <c r="T20" s="33">
        <f t="shared" si="3"/>
        <v>4969364.4000000004</v>
      </c>
      <c r="U20" s="33">
        <f t="shared" si="13"/>
        <v>1639890.2520000001</v>
      </c>
      <c r="V20" s="33">
        <f t="shared" si="14"/>
        <v>3329474.148</v>
      </c>
      <c r="AC20" s="58"/>
      <c r="AD20" s="58"/>
    </row>
    <row r="21" spans="2:30" s="26" customFormat="1">
      <c r="B21" s="36">
        <f t="shared" si="9"/>
        <v>12</v>
      </c>
      <c r="C21" s="40" t="s">
        <v>2</v>
      </c>
      <c r="D21" s="36" t="s">
        <v>26</v>
      </c>
      <c r="E21" s="38">
        <v>150</v>
      </c>
      <c r="F21" s="38">
        <v>150</v>
      </c>
      <c r="G21" s="38">
        <v>8.8000000000000007</v>
      </c>
      <c r="H21" s="39">
        <v>8</v>
      </c>
      <c r="I21" s="37" t="s">
        <v>22</v>
      </c>
      <c r="J21" s="37" t="s">
        <v>15</v>
      </c>
      <c r="K21" s="37" t="s">
        <v>16</v>
      </c>
      <c r="L21" s="37" t="s">
        <v>4</v>
      </c>
      <c r="M21" s="37" t="s">
        <v>87</v>
      </c>
      <c r="N21" s="32">
        <v>2000</v>
      </c>
      <c r="O21" s="33">
        <v>20685</v>
      </c>
      <c r="P21" s="33">
        <f t="shared" si="0"/>
        <v>22753.500000000004</v>
      </c>
      <c r="Q21" s="34">
        <v>0.7</v>
      </c>
      <c r="R21" s="35">
        <f t="shared" si="1"/>
        <v>15927.45</v>
      </c>
      <c r="S21" s="35">
        <f t="shared" si="2"/>
        <v>1479.6962095875142</v>
      </c>
      <c r="T21" s="33">
        <f t="shared" si="3"/>
        <v>2389117.5</v>
      </c>
      <c r="U21" s="33">
        <f t="shared" si="13"/>
        <v>788408.77500000002</v>
      </c>
      <c r="V21" s="33">
        <f t="shared" si="14"/>
        <v>1600708.7250000001</v>
      </c>
      <c r="AC21" s="58"/>
      <c r="AD21" s="58"/>
    </row>
    <row r="22" spans="2:30" s="26" customFormat="1">
      <c r="B22" s="36">
        <f t="shared" si="9"/>
        <v>13</v>
      </c>
      <c r="C22" s="40" t="s">
        <v>1</v>
      </c>
      <c r="D22" s="36" t="s">
        <v>26</v>
      </c>
      <c r="E22" s="38">
        <v>48</v>
      </c>
      <c r="F22" s="38">
        <v>72</v>
      </c>
      <c r="G22" s="38">
        <v>12.25</v>
      </c>
      <c r="H22" s="39">
        <v>1</v>
      </c>
      <c r="I22" s="37" t="s">
        <v>22</v>
      </c>
      <c r="J22" s="37" t="s">
        <v>72</v>
      </c>
      <c r="K22" s="37" t="s">
        <v>44</v>
      </c>
      <c r="L22" s="37" t="s">
        <v>73</v>
      </c>
      <c r="M22" s="37" t="s">
        <v>49</v>
      </c>
      <c r="N22" s="32">
        <v>2000</v>
      </c>
      <c r="O22" s="33">
        <v>17640</v>
      </c>
      <c r="P22" s="33">
        <f t="shared" si="0"/>
        <v>19404</v>
      </c>
      <c r="Q22" s="34">
        <v>0.7</v>
      </c>
      <c r="R22" s="35">
        <f t="shared" si="1"/>
        <v>13582.8</v>
      </c>
      <c r="S22" s="35">
        <f t="shared" si="2"/>
        <v>1261.8729096989966</v>
      </c>
      <c r="T22" s="33">
        <f t="shared" si="3"/>
        <v>977961.6</v>
      </c>
      <c r="U22" s="33">
        <f t="shared" si="12"/>
        <v>430303.10399999999</v>
      </c>
      <c r="V22" s="33">
        <f t="shared" si="14"/>
        <v>547658.49600000004</v>
      </c>
      <c r="AC22" s="58"/>
      <c r="AD22" s="58"/>
    </row>
    <row r="23" spans="2:30" s="26" customFormat="1">
      <c r="B23" s="36">
        <f t="shared" si="9"/>
        <v>14</v>
      </c>
      <c r="C23" s="41" t="s">
        <v>76</v>
      </c>
      <c r="D23" s="36" t="s">
        <v>77</v>
      </c>
      <c r="E23" s="38">
        <v>1607</v>
      </c>
      <c r="F23" s="38">
        <v>3045</v>
      </c>
      <c r="G23" s="38">
        <v>21.9</v>
      </c>
      <c r="H23" s="39">
        <v>2</v>
      </c>
      <c r="I23" s="37" t="s">
        <v>22</v>
      </c>
      <c r="J23" s="37" t="s">
        <v>72</v>
      </c>
      <c r="K23" s="37" t="s">
        <v>78</v>
      </c>
      <c r="L23" s="37" t="s">
        <v>51</v>
      </c>
      <c r="M23" s="37" t="s">
        <v>23</v>
      </c>
      <c r="N23" s="32">
        <v>2000</v>
      </c>
      <c r="O23" s="33">
        <v>17640</v>
      </c>
      <c r="P23" s="33">
        <f t="shared" si="0"/>
        <v>19404</v>
      </c>
      <c r="Q23" s="34">
        <v>0.75</v>
      </c>
      <c r="R23" s="35">
        <f t="shared" si="1"/>
        <v>14553</v>
      </c>
      <c r="S23" s="35">
        <f t="shared" si="2"/>
        <v>1352.0066889632108</v>
      </c>
      <c r="T23" s="33">
        <f t="shared" si="3"/>
        <v>44313885</v>
      </c>
      <c r="U23" s="33">
        <f t="shared" si="12"/>
        <v>19498109.400000002</v>
      </c>
      <c r="V23" s="33">
        <f t="shared" si="14"/>
        <v>24815775.599999998</v>
      </c>
      <c r="AC23" s="58"/>
      <c r="AD23" s="58"/>
    </row>
    <row r="24" spans="2:30" s="27" customFormat="1">
      <c r="B24" s="36">
        <f t="shared" si="9"/>
        <v>15</v>
      </c>
      <c r="C24" s="41" t="s">
        <v>84</v>
      </c>
      <c r="D24" s="36" t="s">
        <v>77</v>
      </c>
      <c r="E24" s="38">
        <v>96</v>
      </c>
      <c r="F24" s="38">
        <v>156</v>
      </c>
      <c r="G24" s="38">
        <v>11.55</v>
      </c>
      <c r="H24" s="39">
        <v>1</v>
      </c>
      <c r="I24" s="37" t="s">
        <v>22</v>
      </c>
      <c r="J24" s="37" t="s">
        <v>15</v>
      </c>
      <c r="K24" s="37" t="s">
        <v>45</v>
      </c>
      <c r="L24" s="37" t="s">
        <v>73</v>
      </c>
      <c r="M24" s="37" t="s">
        <v>23</v>
      </c>
      <c r="N24" s="32">
        <v>2000</v>
      </c>
      <c r="O24" s="33">
        <v>20685</v>
      </c>
      <c r="P24" s="33">
        <f t="shared" si="0"/>
        <v>22753.500000000004</v>
      </c>
      <c r="Q24" s="34">
        <v>0.75</v>
      </c>
      <c r="R24" s="35">
        <f t="shared" si="1"/>
        <v>17065.125000000004</v>
      </c>
      <c r="S24" s="35">
        <f t="shared" si="2"/>
        <v>1585.3887959866224</v>
      </c>
      <c r="T24" s="33">
        <f t="shared" si="3"/>
        <v>2662159.5000000005</v>
      </c>
      <c r="U24" s="33">
        <f t="shared" ref="U24:U43" si="15">T24*($U$2-N24)*1.5%</f>
        <v>878512.63500000013</v>
      </c>
      <c r="V24" s="33">
        <f t="shared" ref="V24:V43" si="16">T24-U24</f>
        <v>1783646.8650000002</v>
      </c>
      <c r="AC24" s="33"/>
      <c r="AD24" s="33"/>
    </row>
    <row r="25" spans="2:30" s="27" customFormat="1">
      <c r="B25" s="36">
        <f t="shared" si="9"/>
        <v>16</v>
      </c>
      <c r="C25" s="41" t="s">
        <v>103</v>
      </c>
      <c r="D25" s="42" t="s">
        <v>99</v>
      </c>
      <c r="E25" s="38">
        <v>546</v>
      </c>
      <c r="F25" s="38">
        <v>715</v>
      </c>
      <c r="G25" s="38">
        <v>11</v>
      </c>
      <c r="H25" s="39">
        <v>1</v>
      </c>
      <c r="I25" s="37" t="s">
        <v>22</v>
      </c>
      <c r="J25" s="37" t="s">
        <v>15</v>
      </c>
      <c r="K25" s="37" t="s">
        <v>16</v>
      </c>
      <c r="L25" s="37" t="s">
        <v>82</v>
      </c>
      <c r="M25" s="37" t="s">
        <v>83</v>
      </c>
      <c r="N25" s="32">
        <v>2000</v>
      </c>
      <c r="O25" s="33">
        <v>20685</v>
      </c>
      <c r="P25" s="33">
        <f t="shared" si="0"/>
        <v>22753.500000000004</v>
      </c>
      <c r="Q25" s="34">
        <v>0.75</v>
      </c>
      <c r="R25" s="35">
        <f t="shared" si="1"/>
        <v>17065.125000000004</v>
      </c>
      <c r="S25" s="35">
        <f t="shared" si="2"/>
        <v>1585.3887959866224</v>
      </c>
      <c r="T25" s="33">
        <f t="shared" si="3"/>
        <v>12201564.375000002</v>
      </c>
      <c r="U25" s="33">
        <f t="shared" si="15"/>
        <v>4026516.2437500004</v>
      </c>
      <c r="V25" s="33">
        <f t="shared" si="16"/>
        <v>8175048.1312500015</v>
      </c>
      <c r="AB25" s="7">
        <v>138949.59</v>
      </c>
      <c r="AC25" s="33"/>
      <c r="AD25" s="33"/>
    </row>
    <row r="26" spans="2:30" s="27" customFormat="1">
      <c r="B26" s="36">
        <f t="shared" si="9"/>
        <v>17</v>
      </c>
      <c r="C26" s="41" t="s">
        <v>96</v>
      </c>
      <c r="D26" s="36" t="s">
        <v>79</v>
      </c>
      <c r="E26" s="38">
        <v>1744</v>
      </c>
      <c r="F26" s="38">
        <v>2131</v>
      </c>
      <c r="G26" s="38">
        <v>14.7</v>
      </c>
      <c r="H26" s="39">
        <v>1</v>
      </c>
      <c r="I26" s="37" t="s">
        <v>22</v>
      </c>
      <c r="J26" s="37" t="s">
        <v>15</v>
      </c>
      <c r="K26" s="37" t="s">
        <v>16</v>
      </c>
      <c r="L26" s="37" t="s">
        <v>81</v>
      </c>
      <c r="M26" s="37" t="s">
        <v>80</v>
      </c>
      <c r="N26" s="32">
        <v>2000</v>
      </c>
      <c r="O26" s="33">
        <v>20685</v>
      </c>
      <c r="P26" s="33">
        <f t="shared" si="0"/>
        <v>22753.500000000004</v>
      </c>
      <c r="Q26" s="34">
        <v>0.75</v>
      </c>
      <c r="R26" s="35">
        <f t="shared" si="1"/>
        <v>17065.125000000004</v>
      </c>
      <c r="S26" s="35">
        <f t="shared" si="2"/>
        <v>1585.3887959866224</v>
      </c>
      <c r="T26" s="33">
        <f t="shared" si="3"/>
        <v>36365781.375000007</v>
      </c>
      <c r="U26" s="33">
        <f t="shared" si="15"/>
        <v>12000707.853750002</v>
      </c>
      <c r="V26" s="33">
        <f t="shared" si="16"/>
        <v>24365073.521250006</v>
      </c>
      <c r="AB26" s="35">
        <f>AC10</f>
        <v>103685000</v>
      </c>
      <c r="AC26" s="33"/>
      <c r="AD26" s="33"/>
    </row>
    <row r="27" spans="2:30" s="27" customFormat="1">
      <c r="B27" s="36">
        <f t="shared" si="9"/>
        <v>18</v>
      </c>
      <c r="C27" s="41" t="s">
        <v>102</v>
      </c>
      <c r="D27" s="36" t="s">
        <v>79</v>
      </c>
      <c r="E27" s="38">
        <v>294</v>
      </c>
      <c r="F27" s="38">
        <v>294</v>
      </c>
      <c r="G27" s="38">
        <v>7</v>
      </c>
      <c r="H27" s="39">
        <v>7</v>
      </c>
      <c r="I27" s="37" t="s">
        <v>22</v>
      </c>
      <c r="J27" s="37" t="s">
        <v>15</v>
      </c>
      <c r="K27" s="37" t="s">
        <v>16</v>
      </c>
      <c r="L27" s="37" t="s">
        <v>20</v>
      </c>
      <c r="M27" s="37" t="s">
        <v>83</v>
      </c>
      <c r="N27" s="32">
        <v>2000</v>
      </c>
      <c r="O27" s="33">
        <v>20685</v>
      </c>
      <c r="P27" s="33">
        <f t="shared" si="0"/>
        <v>22753.500000000004</v>
      </c>
      <c r="Q27" s="34">
        <v>0.7</v>
      </c>
      <c r="R27" s="35">
        <f t="shared" si="1"/>
        <v>15927.45</v>
      </c>
      <c r="S27" s="35">
        <f t="shared" si="2"/>
        <v>1479.6962095875142</v>
      </c>
      <c r="T27" s="33">
        <f t="shared" si="3"/>
        <v>4682670.3</v>
      </c>
      <c r="U27" s="33">
        <f t="shared" si="15"/>
        <v>1545281.1989999998</v>
      </c>
      <c r="V27" s="33">
        <f t="shared" si="16"/>
        <v>3137389.1009999998</v>
      </c>
      <c r="AB27" s="33">
        <f>AB26/AB25</f>
        <v>746.20587221595974</v>
      </c>
      <c r="AC27" s="33"/>
      <c r="AD27" s="33"/>
    </row>
    <row r="28" spans="2:30" s="26" customFormat="1">
      <c r="B28" s="36">
        <f t="shared" si="9"/>
        <v>19</v>
      </c>
      <c r="C28" s="41" t="s">
        <v>86</v>
      </c>
      <c r="D28" s="36" t="s">
        <v>79</v>
      </c>
      <c r="E28" s="38">
        <v>244</v>
      </c>
      <c r="F28" s="38">
        <v>244</v>
      </c>
      <c r="G28" s="38">
        <v>8.4250000000000007</v>
      </c>
      <c r="H28" s="39">
        <v>8</v>
      </c>
      <c r="I28" s="37" t="s">
        <v>22</v>
      </c>
      <c r="J28" s="37" t="s">
        <v>15</v>
      </c>
      <c r="K28" s="37" t="s">
        <v>16</v>
      </c>
      <c r="L28" s="37" t="s">
        <v>51</v>
      </c>
      <c r="M28" s="37" t="s">
        <v>87</v>
      </c>
      <c r="N28" s="32">
        <v>2000</v>
      </c>
      <c r="O28" s="33">
        <v>20685</v>
      </c>
      <c r="P28" s="33">
        <f t="shared" si="0"/>
        <v>22753.500000000004</v>
      </c>
      <c r="Q28" s="34">
        <v>0.7</v>
      </c>
      <c r="R28" s="35">
        <f t="shared" si="1"/>
        <v>15927.45</v>
      </c>
      <c r="S28" s="35">
        <f t="shared" si="2"/>
        <v>1479.6962095875142</v>
      </c>
      <c r="T28" s="33">
        <f t="shared" si="3"/>
        <v>3886297.8000000003</v>
      </c>
      <c r="U28" s="33">
        <f t="shared" si="15"/>
        <v>1282478.274</v>
      </c>
      <c r="V28" s="33">
        <f t="shared" si="16"/>
        <v>2603819.5260000005</v>
      </c>
      <c r="AC28" s="58"/>
      <c r="AD28" s="58"/>
    </row>
    <row r="29" spans="2:30" s="26" customFormat="1">
      <c r="B29" s="36">
        <f t="shared" si="9"/>
        <v>20</v>
      </c>
      <c r="C29" s="41" t="s">
        <v>85</v>
      </c>
      <c r="D29" s="36" t="s">
        <v>79</v>
      </c>
      <c r="E29" s="38">
        <v>64</v>
      </c>
      <c r="F29" s="38">
        <v>64</v>
      </c>
      <c r="G29" s="38">
        <v>12.78</v>
      </c>
      <c r="H29" s="39">
        <v>1</v>
      </c>
      <c r="I29" s="37" t="s">
        <v>22</v>
      </c>
      <c r="J29" s="37" t="s">
        <v>15</v>
      </c>
      <c r="K29" s="37" t="s">
        <v>45</v>
      </c>
      <c r="L29" s="37" t="s">
        <v>73</v>
      </c>
      <c r="M29" s="37" t="s">
        <v>23</v>
      </c>
      <c r="N29" s="32">
        <v>2000</v>
      </c>
      <c r="O29" s="33">
        <v>20685</v>
      </c>
      <c r="P29" s="33">
        <f t="shared" si="0"/>
        <v>22753.500000000004</v>
      </c>
      <c r="Q29" s="34">
        <v>0.75</v>
      </c>
      <c r="R29" s="35">
        <f t="shared" si="1"/>
        <v>17065.125000000004</v>
      </c>
      <c r="S29" s="35">
        <f t="shared" si="2"/>
        <v>1585.3887959866224</v>
      </c>
      <c r="T29" s="33">
        <f t="shared" si="3"/>
        <v>1092168.0000000002</v>
      </c>
      <c r="U29" s="33">
        <f t="shared" si="15"/>
        <v>360415.44000000006</v>
      </c>
      <c r="V29" s="33">
        <f t="shared" si="16"/>
        <v>731752.56000000017</v>
      </c>
      <c r="AC29" s="58"/>
      <c r="AD29" s="58"/>
    </row>
    <row r="30" spans="2:30" s="26" customFormat="1">
      <c r="B30" s="36">
        <v>1</v>
      </c>
      <c r="C30" s="40" t="s">
        <v>71</v>
      </c>
      <c r="D30" s="36" t="s">
        <v>98</v>
      </c>
      <c r="E30" s="38">
        <v>600</v>
      </c>
      <c r="F30" s="38">
        <v>600</v>
      </c>
      <c r="G30" s="38">
        <v>5</v>
      </c>
      <c r="H30" s="39">
        <v>5</v>
      </c>
      <c r="I30" s="40" t="s">
        <v>14</v>
      </c>
      <c r="J30" s="40" t="s">
        <v>15</v>
      </c>
      <c r="K30" s="37" t="s">
        <v>16</v>
      </c>
      <c r="L30" s="40" t="s">
        <v>17</v>
      </c>
      <c r="M30" s="37" t="s">
        <v>49</v>
      </c>
      <c r="N30" s="32">
        <v>2000</v>
      </c>
      <c r="O30" s="33">
        <v>20685</v>
      </c>
      <c r="P30" s="33">
        <f t="shared" si="0"/>
        <v>22753.500000000004</v>
      </c>
      <c r="Q30" s="34">
        <v>0.7</v>
      </c>
      <c r="R30" s="35">
        <f t="shared" si="1"/>
        <v>15927.45</v>
      </c>
      <c r="S30" s="35">
        <f t="shared" si="2"/>
        <v>1479.6962095875142</v>
      </c>
      <c r="T30" s="33">
        <f t="shared" si="3"/>
        <v>9556470</v>
      </c>
      <c r="U30" s="33">
        <f t="shared" si="15"/>
        <v>3153635.1</v>
      </c>
      <c r="V30" s="33">
        <f t="shared" si="16"/>
        <v>6402834.9000000004</v>
      </c>
      <c r="AC30" s="58"/>
      <c r="AD30" s="58"/>
    </row>
    <row r="31" spans="2:30" s="26" customFormat="1">
      <c r="B31" s="28">
        <f t="shared" ref="B31:B60" si="17">B30+1</f>
        <v>2</v>
      </c>
      <c r="C31" s="43" t="s">
        <v>109</v>
      </c>
      <c r="D31" s="28" t="s">
        <v>98</v>
      </c>
      <c r="E31" s="30">
        <v>1500</v>
      </c>
      <c r="F31" s="30">
        <v>2475</v>
      </c>
      <c r="G31" s="30">
        <v>10.65</v>
      </c>
      <c r="H31" s="31">
        <v>1</v>
      </c>
      <c r="I31" s="29" t="s">
        <v>22</v>
      </c>
      <c r="J31" s="29" t="s">
        <v>15</v>
      </c>
      <c r="K31" s="29" t="s">
        <v>16</v>
      </c>
      <c r="L31" s="29" t="s">
        <v>51</v>
      </c>
      <c r="M31" s="29" t="s">
        <v>23</v>
      </c>
      <c r="N31" s="32">
        <v>2010</v>
      </c>
      <c r="O31" s="33">
        <v>20685</v>
      </c>
      <c r="P31" s="33">
        <f t="shared" si="0"/>
        <v>22753.500000000004</v>
      </c>
      <c r="Q31" s="34">
        <v>0.75</v>
      </c>
      <c r="R31" s="35">
        <f t="shared" si="1"/>
        <v>17065.125000000004</v>
      </c>
      <c r="S31" s="35">
        <f t="shared" si="2"/>
        <v>1585.3887959866224</v>
      </c>
      <c r="T31" s="33">
        <f t="shared" si="3"/>
        <v>42236184.375000007</v>
      </c>
      <c r="U31" s="33">
        <f t="shared" si="15"/>
        <v>7602513.1875000019</v>
      </c>
      <c r="V31" s="33">
        <f t="shared" si="16"/>
        <v>34633671.187500007</v>
      </c>
      <c r="AC31" s="58"/>
      <c r="AD31" s="58"/>
    </row>
    <row r="32" spans="2:30" s="26" customFormat="1">
      <c r="B32" s="44">
        <f t="shared" si="17"/>
        <v>3</v>
      </c>
      <c r="C32" s="45" t="s">
        <v>54</v>
      </c>
      <c r="D32" s="44" t="s">
        <v>98</v>
      </c>
      <c r="E32" s="46">
        <v>635</v>
      </c>
      <c r="F32" s="46">
        <v>1255</v>
      </c>
      <c r="G32" s="46">
        <v>8.3000000000000007</v>
      </c>
      <c r="H32" s="47">
        <v>8</v>
      </c>
      <c r="I32" s="45" t="s">
        <v>22</v>
      </c>
      <c r="J32" s="45" t="s">
        <v>15</v>
      </c>
      <c r="K32" s="45" t="s">
        <v>16</v>
      </c>
      <c r="L32" s="45" t="s">
        <v>55</v>
      </c>
      <c r="M32" s="45" t="s">
        <v>88</v>
      </c>
      <c r="N32" s="32">
        <v>2000</v>
      </c>
      <c r="O32" s="33">
        <v>20685</v>
      </c>
      <c r="P32" s="33">
        <f t="shared" si="0"/>
        <v>22753.500000000004</v>
      </c>
      <c r="Q32" s="34">
        <v>0.7</v>
      </c>
      <c r="R32" s="35">
        <f t="shared" si="1"/>
        <v>15927.45</v>
      </c>
      <c r="S32" s="35">
        <f t="shared" si="2"/>
        <v>1479.6962095875142</v>
      </c>
      <c r="T32" s="33">
        <f t="shared" si="3"/>
        <v>19988949.75</v>
      </c>
      <c r="U32" s="33">
        <f t="shared" si="15"/>
        <v>6596353.4174999995</v>
      </c>
      <c r="V32" s="33">
        <f t="shared" si="16"/>
        <v>13392596.3325</v>
      </c>
      <c r="AC32" s="58"/>
      <c r="AD32" s="58"/>
    </row>
    <row r="33" spans="2:30" s="26" customFormat="1">
      <c r="B33" s="36">
        <f t="shared" si="17"/>
        <v>4</v>
      </c>
      <c r="C33" s="41" t="s">
        <v>108</v>
      </c>
      <c r="D33" s="36" t="s">
        <v>98</v>
      </c>
      <c r="E33" s="38">
        <v>1200</v>
      </c>
      <c r="F33" s="38">
        <v>1200</v>
      </c>
      <c r="G33" s="38">
        <v>7.9</v>
      </c>
      <c r="H33" s="39">
        <v>7</v>
      </c>
      <c r="I33" s="40" t="s">
        <v>14</v>
      </c>
      <c r="J33" s="37" t="s">
        <v>15</v>
      </c>
      <c r="K33" s="37" t="s">
        <v>16</v>
      </c>
      <c r="L33" s="40" t="s">
        <v>51</v>
      </c>
      <c r="M33" s="37" t="s">
        <v>23</v>
      </c>
      <c r="N33" s="32">
        <v>2000</v>
      </c>
      <c r="O33" s="33">
        <v>20685</v>
      </c>
      <c r="P33" s="33">
        <f t="shared" si="0"/>
        <v>22753.500000000004</v>
      </c>
      <c r="Q33" s="34">
        <v>0.7</v>
      </c>
      <c r="R33" s="35">
        <f t="shared" si="1"/>
        <v>15927.45</v>
      </c>
      <c r="S33" s="35">
        <f t="shared" si="2"/>
        <v>1479.6962095875142</v>
      </c>
      <c r="T33" s="33">
        <f t="shared" si="3"/>
        <v>19112940</v>
      </c>
      <c r="U33" s="33">
        <f t="shared" si="15"/>
        <v>6307270.2000000002</v>
      </c>
      <c r="V33" s="33">
        <f t="shared" si="16"/>
        <v>12805669.800000001</v>
      </c>
      <c r="AC33" s="58"/>
      <c r="AD33" s="58"/>
    </row>
    <row r="34" spans="2:30" s="26" customFormat="1">
      <c r="B34" s="36">
        <f t="shared" si="17"/>
        <v>5</v>
      </c>
      <c r="C34" s="40" t="s">
        <v>56</v>
      </c>
      <c r="D34" s="36" t="s">
        <v>98</v>
      </c>
      <c r="E34" s="38">
        <v>737</v>
      </c>
      <c r="F34" s="38">
        <v>737</v>
      </c>
      <c r="G34" s="38">
        <v>8.3000000000000007</v>
      </c>
      <c r="H34" s="39">
        <v>8</v>
      </c>
      <c r="I34" s="40" t="s">
        <v>14</v>
      </c>
      <c r="J34" s="40" t="s">
        <v>15</v>
      </c>
      <c r="K34" s="37" t="s">
        <v>16</v>
      </c>
      <c r="L34" s="37" t="s">
        <v>57</v>
      </c>
      <c r="M34" s="37" t="s">
        <v>58</v>
      </c>
      <c r="N34" s="32">
        <v>2000</v>
      </c>
      <c r="O34" s="33">
        <v>20685</v>
      </c>
      <c r="P34" s="33">
        <f t="shared" si="0"/>
        <v>22753.500000000004</v>
      </c>
      <c r="Q34" s="34">
        <v>0.7</v>
      </c>
      <c r="R34" s="35">
        <f t="shared" si="1"/>
        <v>15927.45</v>
      </c>
      <c r="S34" s="35">
        <f t="shared" si="2"/>
        <v>1479.6962095875142</v>
      </c>
      <c r="T34" s="33">
        <f t="shared" si="3"/>
        <v>11738530.65</v>
      </c>
      <c r="U34" s="33">
        <f t="shared" si="15"/>
        <v>3873715.1145000001</v>
      </c>
      <c r="V34" s="33">
        <f t="shared" si="16"/>
        <v>7864815.5355000002</v>
      </c>
      <c r="AC34" s="58"/>
      <c r="AD34" s="58"/>
    </row>
    <row r="35" spans="2:30" s="26" customFormat="1">
      <c r="B35" s="36">
        <f t="shared" si="17"/>
        <v>6</v>
      </c>
      <c r="C35" s="40" t="s">
        <v>62</v>
      </c>
      <c r="D35" s="36" t="s">
        <v>98</v>
      </c>
      <c r="E35" s="38">
        <v>672</v>
      </c>
      <c r="F35" s="38">
        <v>672</v>
      </c>
      <c r="G35" s="38">
        <v>7.7</v>
      </c>
      <c r="H35" s="39">
        <v>7</v>
      </c>
      <c r="I35" s="40" t="s">
        <v>14</v>
      </c>
      <c r="J35" s="40" t="s">
        <v>15</v>
      </c>
      <c r="K35" s="37" t="s">
        <v>16</v>
      </c>
      <c r="L35" s="37" t="s">
        <v>61</v>
      </c>
      <c r="M35" s="37" t="s">
        <v>58</v>
      </c>
      <c r="N35" s="32">
        <v>2000</v>
      </c>
      <c r="O35" s="33">
        <v>20685</v>
      </c>
      <c r="P35" s="33">
        <f t="shared" si="0"/>
        <v>22753.500000000004</v>
      </c>
      <c r="Q35" s="34">
        <v>0.7</v>
      </c>
      <c r="R35" s="35">
        <f t="shared" si="1"/>
        <v>15927.45</v>
      </c>
      <c r="S35" s="35">
        <f t="shared" si="2"/>
        <v>1479.6962095875142</v>
      </c>
      <c r="T35" s="33">
        <f t="shared" si="3"/>
        <v>10703246.4</v>
      </c>
      <c r="U35" s="33">
        <f t="shared" si="15"/>
        <v>3532071.3119999999</v>
      </c>
      <c r="V35" s="33">
        <f t="shared" si="16"/>
        <v>7171175.0880000005</v>
      </c>
      <c r="AC35" s="58"/>
      <c r="AD35" s="58"/>
    </row>
    <row r="36" spans="2:30" s="26" customFormat="1">
      <c r="B36" s="28">
        <f t="shared" si="17"/>
        <v>7</v>
      </c>
      <c r="C36" s="43" t="s">
        <v>110</v>
      </c>
      <c r="D36" s="28" t="s">
        <v>98</v>
      </c>
      <c r="E36" s="30">
        <v>600</v>
      </c>
      <c r="F36" s="30">
        <v>600</v>
      </c>
      <c r="G36" s="30">
        <v>7.3</v>
      </c>
      <c r="H36" s="31">
        <v>7</v>
      </c>
      <c r="I36" s="29" t="s">
        <v>14</v>
      </c>
      <c r="J36" s="29" t="s">
        <v>15</v>
      </c>
      <c r="K36" s="29" t="s">
        <v>16</v>
      </c>
      <c r="L36" s="29" t="s">
        <v>51</v>
      </c>
      <c r="M36" s="29" t="s">
        <v>23</v>
      </c>
      <c r="N36" s="32">
        <v>2010</v>
      </c>
      <c r="O36" s="33">
        <v>20685</v>
      </c>
      <c r="P36" s="33">
        <f t="shared" si="0"/>
        <v>22753.500000000004</v>
      </c>
      <c r="Q36" s="34">
        <v>0.7</v>
      </c>
      <c r="R36" s="35">
        <f t="shared" si="1"/>
        <v>15927.45</v>
      </c>
      <c r="S36" s="35">
        <f t="shared" si="2"/>
        <v>1479.6962095875142</v>
      </c>
      <c r="T36" s="33">
        <f t="shared" si="3"/>
        <v>9556470</v>
      </c>
      <c r="U36" s="33">
        <f t="shared" si="15"/>
        <v>1720164.5999999999</v>
      </c>
      <c r="V36" s="33">
        <f t="shared" si="16"/>
        <v>7836305.4000000004</v>
      </c>
      <c r="AC36" s="58"/>
      <c r="AD36" s="58"/>
    </row>
    <row r="37" spans="2:30" s="26" customFormat="1">
      <c r="B37" s="36">
        <f t="shared" si="17"/>
        <v>8</v>
      </c>
      <c r="C37" s="40" t="s">
        <v>60</v>
      </c>
      <c r="D37" s="36" t="s">
        <v>98</v>
      </c>
      <c r="E37" s="38">
        <v>450</v>
      </c>
      <c r="F37" s="38">
        <v>450</v>
      </c>
      <c r="G37" s="38">
        <v>7.25</v>
      </c>
      <c r="H37" s="39">
        <v>7</v>
      </c>
      <c r="I37" s="40" t="s">
        <v>14</v>
      </c>
      <c r="J37" s="40" t="s">
        <v>15</v>
      </c>
      <c r="K37" s="37" t="s">
        <v>16</v>
      </c>
      <c r="L37" s="37" t="s">
        <v>61</v>
      </c>
      <c r="M37" s="37" t="s">
        <v>58</v>
      </c>
      <c r="N37" s="32">
        <v>2000</v>
      </c>
      <c r="O37" s="33">
        <v>20685</v>
      </c>
      <c r="P37" s="33">
        <f t="shared" si="0"/>
        <v>22753.500000000004</v>
      </c>
      <c r="Q37" s="34">
        <v>0.7</v>
      </c>
      <c r="R37" s="35">
        <f t="shared" si="1"/>
        <v>15927.45</v>
      </c>
      <c r="S37" s="35">
        <f t="shared" si="2"/>
        <v>1479.6962095875142</v>
      </c>
      <c r="T37" s="33">
        <f t="shared" si="3"/>
        <v>7167352.5</v>
      </c>
      <c r="U37" s="33">
        <f t="shared" si="15"/>
        <v>2365226.3249999997</v>
      </c>
      <c r="V37" s="33">
        <f t="shared" si="16"/>
        <v>4802126.1750000007</v>
      </c>
      <c r="AC37" s="58"/>
      <c r="AD37" s="58"/>
    </row>
    <row r="38" spans="2:30" s="26" customFormat="1">
      <c r="B38" s="28">
        <f t="shared" si="17"/>
        <v>9</v>
      </c>
      <c r="C38" s="43" t="s">
        <v>106</v>
      </c>
      <c r="D38" s="28" t="s">
        <v>98</v>
      </c>
      <c r="E38" s="30">
        <v>384</v>
      </c>
      <c r="F38" s="30">
        <v>384</v>
      </c>
      <c r="G38" s="30">
        <v>6.5</v>
      </c>
      <c r="H38" s="31">
        <v>6</v>
      </c>
      <c r="I38" s="29" t="s">
        <v>14</v>
      </c>
      <c r="J38" s="29" t="s">
        <v>15</v>
      </c>
      <c r="K38" s="29" t="s">
        <v>105</v>
      </c>
      <c r="L38" s="29" t="s">
        <v>51</v>
      </c>
      <c r="M38" s="29" t="s">
        <v>104</v>
      </c>
      <c r="N38" s="32">
        <v>2010</v>
      </c>
      <c r="O38" s="33">
        <v>20685</v>
      </c>
      <c r="P38" s="33">
        <f t="shared" si="0"/>
        <v>22753.500000000004</v>
      </c>
      <c r="Q38" s="34">
        <v>0.7</v>
      </c>
      <c r="R38" s="35">
        <f t="shared" si="1"/>
        <v>15927.45</v>
      </c>
      <c r="S38" s="35">
        <f t="shared" si="2"/>
        <v>1479.6962095875142</v>
      </c>
      <c r="T38" s="33">
        <f t="shared" si="3"/>
        <v>6116140.8000000007</v>
      </c>
      <c r="U38" s="33">
        <f t="shared" si="15"/>
        <v>1100905.344</v>
      </c>
      <c r="V38" s="33">
        <f t="shared" si="16"/>
        <v>5015235.4560000002</v>
      </c>
      <c r="AC38" s="58"/>
      <c r="AD38" s="58"/>
    </row>
    <row r="39" spans="2:30" s="26" customFormat="1">
      <c r="B39" s="36">
        <f t="shared" si="17"/>
        <v>10</v>
      </c>
      <c r="C39" s="37" t="s">
        <v>68</v>
      </c>
      <c r="D39" s="36" t="s">
        <v>98</v>
      </c>
      <c r="E39" s="38">
        <v>325</v>
      </c>
      <c r="F39" s="38">
        <v>325</v>
      </c>
      <c r="G39" s="38">
        <v>6.5</v>
      </c>
      <c r="H39" s="39">
        <v>6</v>
      </c>
      <c r="I39" s="37" t="s">
        <v>14</v>
      </c>
      <c r="J39" s="37" t="s">
        <v>15</v>
      </c>
      <c r="K39" s="37" t="s">
        <v>75</v>
      </c>
      <c r="L39" s="37" t="s">
        <v>51</v>
      </c>
      <c r="M39" s="37" t="s">
        <v>89</v>
      </c>
      <c r="N39" s="32">
        <v>2000</v>
      </c>
      <c r="O39" s="33">
        <v>20685</v>
      </c>
      <c r="P39" s="33">
        <f t="shared" si="0"/>
        <v>22753.500000000004</v>
      </c>
      <c r="Q39" s="34">
        <v>0.7</v>
      </c>
      <c r="R39" s="35">
        <f t="shared" si="1"/>
        <v>15927.45</v>
      </c>
      <c r="S39" s="35">
        <f t="shared" si="2"/>
        <v>1479.6962095875142</v>
      </c>
      <c r="T39" s="33">
        <f t="shared" si="3"/>
        <v>5176421.25</v>
      </c>
      <c r="U39" s="33">
        <f t="shared" si="15"/>
        <v>1708219.0125</v>
      </c>
      <c r="V39" s="33">
        <f t="shared" si="16"/>
        <v>3468202.2374999998</v>
      </c>
      <c r="AC39" s="58"/>
      <c r="AD39" s="58"/>
    </row>
    <row r="40" spans="2:30" s="26" customFormat="1">
      <c r="B40" s="36">
        <f t="shared" si="17"/>
        <v>11</v>
      </c>
      <c r="C40" s="40" t="s">
        <v>67</v>
      </c>
      <c r="D40" s="36" t="s">
        <v>98</v>
      </c>
      <c r="E40" s="38">
        <v>302</v>
      </c>
      <c r="F40" s="38">
        <v>302</v>
      </c>
      <c r="G40" s="38">
        <v>7.9</v>
      </c>
      <c r="H40" s="39">
        <v>7</v>
      </c>
      <c r="I40" s="40" t="s">
        <v>14</v>
      </c>
      <c r="J40" s="40" t="s">
        <v>15</v>
      </c>
      <c r="K40" s="37" t="s">
        <v>16</v>
      </c>
      <c r="L40" s="37" t="s">
        <v>57</v>
      </c>
      <c r="M40" s="37" t="s">
        <v>59</v>
      </c>
      <c r="N40" s="32">
        <v>2000</v>
      </c>
      <c r="O40" s="33">
        <v>20685</v>
      </c>
      <c r="P40" s="33">
        <f t="shared" si="0"/>
        <v>22753.500000000004</v>
      </c>
      <c r="Q40" s="34">
        <v>0.7</v>
      </c>
      <c r="R40" s="35">
        <f t="shared" si="1"/>
        <v>15927.45</v>
      </c>
      <c r="S40" s="35">
        <f t="shared" si="2"/>
        <v>1479.6962095875142</v>
      </c>
      <c r="T40" s="33">
        <f t="shared" si="3"/>
        <v>4810089.9000000004</v>
      </c>
      <c r="U40" s="33">
        <f t="shared" si="15"/>
        <v>1587329.6670000001</v>
      </c>
      <c r="V40" s="33">
        <f t="shared" si="16"/>
        <v>3222760.233</v>
      </c>
      <c r="AC40" s="58"/>
      <c r="AD40" s="58"/>
    </row>
    <row r="41" spans="2:30" s="26" customFormat="1">
      <c r="B41" s="36">
        <f t="shared" si="17"/>
        <v>12</v>
      </c>
      <c r="C41" s="40" t="s">
        <v>8</v>
      </c>
      <c r="D41" s="36" t="s">
        <v>98</v>
      </c>
      <c r="E41" s="38">
        <v>288</v>
      </c>
      <c r="F41" s="38">
        <v>288</v>
      </c>
      <c r="G41" s="38">
        <v>4.5</v>
      </c>
      <c r="H41" s="39">
        <v>4</v>
      </c>
      <c r="I41" s="40" t="s">
        <v>14</v>
      </c>
      <c r="J41" s="40" t="s">
        <v>15</v>
      </c>
      <c r="K41" s="40" t="s">
        <v>16</v>
      </c>
      <c r="L41" s="40" t="s">
        <v>17</v>
      </c>
      <c r="M41" s="40" t="s">
        <v>87</v>
      </c>
      <c r="N41" s="32">
        <v>2000</v>
      </c>
      <c r="O41" s="33">
        <v>20685</v>
      </c>
      <c r="P41" s="33">
        <f t="shared" si="0"/>
        <v>22753.500000000004</v>
      </c>
      <c r="Q41" s="34">
        <v>0.65</v>
      </c>
      <c r="R41" s="35">
        <f t="shared" si="1"/>
        <v>14789.775000000003</v>
      </c>
      <c r="S41" s="35">
        <f t="shared" si="2"/>
        <v>1374.0036231884062</v>
      </c>
      <c r="T41" s="33">
        <f t="shared" si="3"/>
        <v>4259455.2000000011</v>
      </c>
      <c r="U41" s="33">
        <f t="shared" si="15"/>
        <v>1405620.2160000002</v>
      </c>
      <c r="V41" s="33">
        <f t="shared" si="16"/>
        <v>2853834.9840000011</v>
      </c>
      <c r="AC41" s="58"/>
      <c r="AD41" s="58"/>
    </row>
    <row r="42" spans="2:30" s="26" customFormat="1">
      <c r="B42" s="36">
        <f t="shared" si="17"/>
        <v>13</v>
      </c>
      <c r="C42" s="41" t="s">
        <v>90</v>
      </c>
      <c r="D42" s="36" t="s">
        <v>98</v>
      </c>
      <c r="E42" s="38">
        <v>220</v>
      </c>
      <c r="F42" s="38">
        <v>220</v>
      </c>
      <c r="G42" s="38">
        <v>4.8</v>
      </c>
      <c r="H42" s="39">
        <v>4</v>
      </c>
      <c r="I42" s="37" t="s">
        <v>14</v>
      </c>
      <c r="J42" s="37" t="s">
        <v>15</v>
      </c>
      <c r="K42" s="37" t="s">
        <v>16</v>
      </c>
      <c r="L42" s="37" t="s">
        <v>51</v>
      </c>
      <c r="M42" s="37" t="s">
        <v>91</v>
      </c>
      <c r="N42" s="32">
        <v>2000</v>
      </c>
      <c r="O42" s="33">
        <v>20685</v>
      </c>
      <c r="P42" s="33">
        <f t="shared" si="0"/>
        <v>22753.500000000004</v>
      </c>
      <c r="Q42" s="34">
        <v>0.65</v>
      </c>
      <c r="R42" s="35">
        <f t="shared" si="1"/>
        <v>14789.775000000003</v>
      </c>
      <c r="S42" s="35">
        <f t="shared" si="2"/>
        <v>1374.0036231884062</v>
      </c>
      <c r="T42" s="33">
        <f t="shared" si="3"/>
        <v>3253750.5000000009</v>
      </c>
      <c r="U42" s="33">
        <f t="shared" si="15"/>
        <v>1073737.6650000003</v>
      </c>
      <c r="V42" s="33">
        <f t="shared" si="16"/>
        <v>2180012.8350000009</v>
      </c>
      <c r="AC42" s="58"/>
      <c r="AD42" s="58"/>
    </row>
    <row r="43" spans="2:30" s="26" customFormat="1">
      <c r="B43" s="36">
        <f t="shared" si="17"/>
        <v>14</v>
      </c>
      <c r="C43" s="37" t="s">
        <v>69</v>
      </c>
      <c r="D43" s="36" t="s">
        <v>98</v>
      </c>
      <c r="E43" s="38">
        <v>193</v>
      </c>
      <c r="F43" s="38">
        <v>193</v>
      </c>
      <c r="G43" s="38">
        <v>5</v>
      </c>
      <c r="H43" s="39">
        <v>5</v>
      </c>
      <c r="I43" s="37" t="s">
        <v>14</v>
      </c>
      <c r="J43" s="37" t="s">
        <v>15</v>
      </c>
      <c r="K43" s="37" t="s">
        <v>70</v>
      </c>
      <c r="L43" s="37" t="s">
        <v>51</v>
      </c>
      <c r="M43" s="37" t="s">
        <v>49</v>
      </c>
      <c r="N43" s="32">
        <v>2000</v>
      </c>
      <c r="O43" s="33">
        <v>20685</v>
      </c>
      <c r="P43" s="33">
        <f t="shared" si="0"/>
        <v>22753.500000000004</v>
      </c>
      <c r="Q43" s="34">
        <v>0.7</v>
      </c>
      <c r="R43" s="35">
        <f t="shared" si="1"/>
        <v>15927.45</v>
      </c>
      <c r="S43" s="35">
        <f t="shared" si="2"/>
        <v>1479.6962095875142</v>
      </c>
      <c r="T43" s="33">
        <f t="shared" si="3"/>
        <v>3073997.85</v>
      </c>
      <c r="U43" s="33">
        <f t="shared" si="15"/>
        <v>1014419.2905</v>
      </c>
      <c r="V43" s="33">
        <f t="shared" si="16"/>
        <v>2059578.5595</v>
      </c>
      <c r="AC43" s="58"/>
      <c r="AD43" s="58"/>
    </row>
    <row r="44" spans="2:30" s="26" customFormat="1">
      <c r="B44" s="36">
        <f t="shared" si="17"/>
        <v>15</v>
      </c>
      <c r="C44" s="40" t="s">
        <v>64</v>
      </c>
      <c r="D44" s="36" t="s">
        <v>98</v>
      </c>
      <c r="E44" s="38">
        <v>137</v>
      </c>
      <c r="F44" s="38">
        <v>137</v>
      </c>
      <c r="G44" s="38">
        <v>5.3</v>
      </c>
      <c r="H44" s="39">
        <v>5</v>
      </c>
      <c r="I44" s="40" t="s">
        <v>14</v>
      </c>
      <c r="J44" s="29" t="s">
        <v>53</v>
      </c>
      <c r="K44" s="40" t="s">
        <v>65</v>
      </c>
      <c r="L44" s="40" t="s">
        <v>51</v>
      </c>
      <c r="M44" s="37" t="s">
        <v>49</v>
      </c>
      <c r="N44" s="32">
        <v>2000</v>
      </c>
      <c r="O44" s="33">
        <v>17640</v>
      </c>
      <c r="P44" s="33">
        <f t="shared" si="0"/>
        <v>19404</v>
      </c>
      <c r="Q44" s="34">
        <v>0.4</v>
      </c>
      <c r="R44" s="35">
        <f t="shared" si="1"/>
        <v>7761.6</v>
      </c>
      <c r="S44" s="35">
        <f t="shared" si="2"/>
        <v>721.07023411371244</v>
      </c>
      <c r="T44" s="33">
        <f t="shared" si="3"/>
        <v>1063339.2</v>
      </c>
      <c r="U44" s="33">
        <f>T44*($U$2-N44)*2%</f>
        <v>467869.24799999996</v>
      </c>
      <c r="V44" s="33">
        <f>T44-U44</f>
        <v>595469.95200000005</v>
      </c>
      <c r="AC44" s="58"/>
      <c r="AD44" s="58"/>
    </row>
    <row r="45" spans="2:30" s="26" customFormat="1">
      <c r="B45" s="36">
        <f t="shared" si="17"/>
        <v>16</v>
      </c>
      <c r="C45" s="41" t="s">
        <v>95</v>
      </c>
      <c r="D45" s="36" t="s">
        <v>98</v>
      </c>
      <c r="E45" s="38">
        <v>80</v>
      </c>
      <c r="F45" s="38">
        <v>80</v>
      </c>
      <c r="G45" s="38">
        <v>3</v>
      </c>
      <c r="H45" s="39">
        <v>3</v>
      </c>
      <c r="I45" s="40" t="s">
        <v>14</v>
      </c>
      <c r="J45" s="40" t="s">
        <v>15</v>
      </c>
      <c r="K45" s="40" t="s">
        <v>16</v>
      </c>
      <c r="L45" s="40" t="s">
        <v>51</v>
      </c>
      <c r="M45" s="40" t="s">
        <v>87</v>
      </c>
      <c r="N45" s="32">
        <v>2000</v>
      </c>
      <c r="O45" s="33">
        <v>20685</v>
      </c>
      <c r="P45" s="33">
        <f t="shared" si="0"/>
        <v>22753.500000000004</v>
      </c>
      <c r="Q45" s="34">
        <v>0.65</v>
      </c>
      <c r="R45" s="35">
        <f t="shared" si="1"/>
        <v>14789.775000000003</v>
      </c>
      <c r="S45" s="35">
        <f t="shared" si="2"/>
        <v>1374.0036231884062</v>
      </c>
      <c r="T45" s="33">
        <f t="shared" si="3"/>
        <v>1183182.0000000002</v>
      </c>
      <c r="U45" s="33">
        <f t="shared" ref="U45:U48" si="18">T45*($U$2-N45)*1.5%</f>
        <v>390450.06000000006</v>
      </c>
      <c r="V45" s="33">
        <f t="shared" ref="V45:V51" si="19">T45-U45</f>
        <v>792731.94000000018</v>
      </c>
      <c r="AC45" s="58"/>
      <c r="AD45" s="58"/>
    </row>
    <row r="46" spans="2:30" s="27" customFormat="1">
      <c r="B46" s="36">
        <f t="shared" si="17"/>
        <v>17</v>
      </c>
      <c r="C46" s="41" t="s">
        <v>5</v>
      </c>
      <c r="D46" s="36" t="s">
        <v>98</v>
      </c>
      <c r="E46" s="38">
        <v>72</v>
      </c>
      <c r="F46" s="38">
        <v>72</v>
      </c>
      <c r="G46" s="38">
        <v>3</v>
      </c>
      <c r="H46" s="39">
        <v>3</v>
      </c>
      <c r="I46" s="37" t="s">
        <v>14</v>
      </c>
      <c r="J46" s="37" t="s">
        <v>15</v>
      </c>
      <c r="K46" s="37" t="s">
        <v>16</v>
      </c>
      <c r="L46" s="37" t="s">
        <v>51</v>
      </c>
      <c r="M46" s="37" t="s">
        <v>91</v>
      </c>
      <c r="N46" s="32">
        <v>2000</v>
      </c>
      <c r="O46" s="33">
        <v>20685</v>
      </c>
      <c r="P46" s="33">
        <f t="shared" si="0"/>
        <v>22753.500000000004</v>
      </c>
      <c r="Q46" s="34">
        <v>0.65</v>
      </c>
      <c r="R46" s="35">
        <f t="shared" si="1"/>
        <v>14789.775000000003</v>
      </c>
      <c r="S46" s="35">
        <f t="shared" si="2"/>
        <v>1374.0036231884062</v>
      </c>
      <c r="T46" s="33">
        <f t="shared" si="3"/>
        <v>1064863.8000000003</v>
      </c>
      <c r="U46" s="33">
        <f t="shared" si="18"/>
        <v>351405.05400000006</v>
      </c>
      <c r="V46" s="33">
        <f t="shared" si="19"/>
        <v>713458.74600000028</v>
      </c>
      <c r="AC46" s="33"/>
      <c r="AD46" s="33"/>
    </row>
    <row r="47" spans="2:30" s="27" customFormat="1">
      <c r="B47" s="36">
        <f t="shared" si="17"/>
        <v>18</v>
      </c>
      <c r="C47" s="40" t="s">
        <v>66</v>
      </c>
      <c r="D47" s="36" t="s">
        <v>98</v>
      </c>
      <c r="E47" s="38">
        <v>52</v>
      </c>
      <c r="F47" s="38">
        <v>52</v>
      </c>
      <c r="G47" s="38">
        <v>3.87</v>
      </c>
      <c r="H47" s="39">
        <v>3</v>
      </c>
      <c r="I47" s="40" t="s">
        <v>14</v>
      </c>
      <c r="J47" s="40" t="s">
        <v>15</v>
      </c>
      <c r="K47" s="37" t="s">
        <v>16</v>
      </c>
      <c r="L47" s="37" t="s">
        <v>61</v>
      </c>
      <c r="M47" s="37" t="s">
        <v>58</v>
      </c>
      <c r="N47" s="32">
        <v>2000</v>
      </c>
      <c r="O47" s="33">
        <v>20685</v>
      </c>
      <c r="P47" s="33">
        <f t="shared" si="0"/>
        <v>22753.500000000004</v>
      </c>
      <c r="Q47" s="34">
        <v>0.65</v>
      </c>
      <c r="R47" s="35">
        <f t="shared" si="1"/>
        <v>14789.775000000003</v>
      </c>
      <c r="S47" s="35">
        <f t="shared" si="2"/>
        <v>1374.0036231884062</v>
      </c>
      <c r="T47" s="33">
        <f t="shared" si="3"/>
        <v>769068.30000000016</v>
      </c>
      <c r="U47" s="33">
        <f t="shared" si="18"/>
        <v>253792.53900000008</v>
      </c>
      <c r="V47" s="33">
        <f t="shared" si="19"/>
        <v>515275.76100000006</v>
      </c>
      <c r="AC47" s="33"/>
      <c r="AD47" s="33"/>
    </row>
    <row r="48" spans="2:30" s="26" customFormat="1">
      <c r="B48" s="36">
        <f t="shared" si="17"/>
        <v>19</v>
      </c>
      <c r="C48" s="37" t="s">
        <v>42</v>
      </c>
      <c r="D48" s="36" t="s">
        <v>25</v>
      </c>
      <c r="E48" s="38">
        <v>23660</v>
      </c>
      <c r="F48" s="38">
        <v>23660</v>
      </c>
      <c r="G48" s="38">
        <v>11.7</v>
      </c>
      <c r="H48" s="39">
        <v>1</v>
      </c>
      <c r="I48" s="37" t="s">
        <v>22</v>
      </c>
      <c r="J48" s="37" t="s">
        <v>15</v>
      </c>
      <c r="K48" s="37" t="s">
        <v>16</v>
      </c>
      <c r="L48" s="37" t="s">
        <v>20</v>
      </c>
      <c r="M48" s="37" t="s">
        <v>23</v>
      </c>
      <c r="N48" s="32">
        <v>2000</v>
      </c>
      <c r="O48" s="33">
        <v>20685</v>
      </c>
      <c r="P48" s="33">
        <f t="shared" si="0"/>
        <v>22753.500000000004</v>
      </c>
      <c r="Q48" s="34">
        <v>0.75</v>
      </c>
      <c r="R48" s="35">
        <f t="shared" si="1"/>
        <v>17065.125000000004</v>
      </c>
      <c r="S48" s="35">
        <f t="shared" si="2"/>
        <v>1585.3887959866224</v>
      </c>
      <c r="T48" s="33">
        <f t="shared" si="3"/>
        <v>403760857.50000006</v>
      </c>
      <c r="U48" s="33">
        <f t="shared" si="18"/>
        <v>133241082.97500002</v>
      </c>
      <c r="V48" s="33">
        <f t="shared" si="19"/>
        <v>270519774.52500004</v>
      </c>
      <c r="AC48" s="58"/>
      <c r="AD48" s="58"/>
    </row>
    <row r="49" spans="2:30" s="26" customFormat="1">
      <c r="B49" s="36">
        <f t="shared" si="17"/>
        <v>20</v>
      </c>
      <c r="C49" s="37" t="s">
        <v>29</v>
      </c>
      <c r="D49" s="36" t="s">
        <v>25</v>
      </c>
      <c r="E49" s="38">
        <v>2610</v>
      </c>
      <c r="F49" s="38">
        <v>2610</v>
      </c>
      <c r="G49" s="38">
        <v>12.7</v>
      </c>
      <c r="H49" s="39">
        <v>1</v>
      </c>
      <c r="I49" s="37" t="s">
        <v>22</v>
      </c>
      <c r="J49" s="37" t="s">
        <v>72</v>
      </c>
      <c r="K49" s="37" t="s">
        <v>16</v>
      </c>
      <c r="L49" s="37" t="s">
        <v>20</v>
      </c>
      <c r="M49" s="37" t="s">
        <v>23</v>
      </c>
      <c r="N49" s="32">
        <v>2000</v>
      </c>
      <c r="O49" s="33">
        <v>17640</v>
      </c>
      <c r="P49" s="33">
        <f t="shared" si="0"/>
        <v>19404</v>
      </c>
      <c r="Q49" s="34">
        <v>0.7</v>
      </c>
      <c r="R49" s="35">
        <f t="shared" si="1"/>
        <v>13582.8</v>
      </c>
      <c r="S49" s="35">
        <f t="shared" si="2"/>
        <v>1261.8729096989966</v>
      </c>
      <c r="T49" s="33">
        <f t="shared" si="3"/>
        <v>35451108</v>
      </c>
      <c r="U49" s="33">
        <f t="shared" ref="U49:U54" si="20">T49*($U$2-N49)*2%</f>
        <v>15598487.52</v>
      </c>
      <c r="V49" s="33">
        <f t="shared" si="19"/>
        <v>19852620.48</v>
      </c>
      <c r="AC49" s="58"/>
      <c r="AD49" s="58"/>
    </row>
    <row r="50" spans="2:30" s="26" customFormat="1">
      <c r="B50" s="36">
        <f t="shared" si="17"/>
        <v>21</v>
      </c>
      <c r="C50" s="41" t="s">
        <v>94</v>
      </c>
      <c r="D50" s="36" t="s">
        <v>25</v>
      </c>
      <c r="E50" s="38">
        <v>681</v>
      </c>
      <c r="F50" s="38">
        <v>2270</v>
      </c>
      <c r="G50" s="38">
        <v>21.524999999999999</v>
      </c>
      <c r="H50" s="39">
        <v>2</v>
      </c>
      <c r="I50" s="37" t="s">
        <v>22</v>
      </c>
      <c r="J50" s="37" t="s">
        <v>72</v>
      </c>
      <c r="K50" s="37" t="s">
        <v>45</v>
      </c>
      <c r="L50" s="37" t="s">
        <v>73</v>
      </c>
      <c r="M50" s="37" t="s">
        <v>74</v>
      </c>
      <c r="N50" s="32">
        <v>2000</v>
      </c>
      <c r="O50" s="33">
        <v>17640</v>
      </c>
      <c r="P50" s="33">
        <f t="shared" si="0"/>
        <v>19404</v>
      </c>
      <c r="Q50" s="34">
        <v>0.75</v>
      </c>
      <c r="R50" s="35">
        <f t="shared" si="1"/>
        <v>14553</v>
      </c>
      <c r="S50" s="35">
        <f t="shared" si="2"/>
        <v>1352.0066889632108</v>
      </c>
      <c r="T50" s="33">
        <f t="shared" si="3"/>
        <v>33035310</v>
      </c>
      <c r="U50" s="33">
        <f t="shared" si="20"/>
        <v>14535536.4</v>
      </c>
      <c r="V50" s="33">
        <f t="shared" si="19"/>
        <v>18499773.600000001</v>
      </c>
      <c r="AC50" s="58"/>
      <c r="AD50" s="58"/>
    </row>
    <row r="51" spans="2:30" s="26" customFormat="1">
      <c r="B51" s="28">
        <f t="shared" si="17"/>
        <v>22</v>
      </c>
      <c r="C51" s="29" t="s">
        <v>116</v>
      </c>
      <c r="D51" s="28" t="s">
        <v>25</v>
      </c>
      <c r="E51" s="30">
        <v>950</v>
      </c>
      <c r="F51" s="30">
        <v>1900</v>
      </c>
      <c r="G51" s="30">
        <v>10.1</v>
      </c>
      <c r="H51" s="31">
        <v>1</v>
      </c>
      <c r="I51" s="29" t="s">
        <v>22</v>
      </c>
      <c r="J51" s="29" t="s">
        <v>72</v>
      </c>
      <c r="K51" s="29" t="s">
        <v>16</v>
      </c>
      <c r="L51" s="29" t="s">
        <v>118</v>
      </c>
      <c r="M51" s="29" t="s">
        <v>119</v>
      </c>
      <c r="N51" s="32">
        <v>2010</v>
      </c>
      <c r="O51" s="33">
        <v>17640</v>
      </c>
      <c r="P51" s="33">
        <f t="shared" si="0"/>
        <v>19404</v>
      </c>
      <c r="Q51" s="34">
        <v>0.7</v>
      </c>
      <c r="R51" s="35">
        <f t="shared" si="1"/>
        <v>13582.8</v>
      </c>
      <c r="S51" s="35">
        <f t="shared" si="2"/>
        <v>1261.8729096989966</v>
      </c>
      <c r="T51" s="33">
        <f t="shared" si="3"/>
        <v>25807320</v>
      </c>
      <c r="U51" s="33">
        <f t="shared" si="20"/>
        <v>6193756.7999999998</v>
      </c>
      <c r="V51" s="33">
        <f t="shared" si="19"/>
        <v>19613563.199999999</v>
      </c>
      <c r="AC51" s="58"/>
      <c r="AD51" s="58"/>
    </row>
    <row r="52" spans="2:30" s="26" customFormat="1">
      <c r="B52" s="36">
        <f t="shared" si="17"/>
        <v>23</v>
      </c>
      <c r="C52" s="37" t="s">
        <v>27</v>
      </c>
      <c r="D52" s="36" t="s">
        <v>25</v>
      </c>
      <c r="E52" s="38">
        <v>725</v>
      </c>
      <c r="F52" s="38">
        <v>1430</v>
      </c>
      <c r="G52" s="38">
        <v>9</v>
      </c>
      <c r="H52" s="39">
        <v>9</v>
      </c>
      <c r="I52" s="37" t="s">
        <v>22</v>
      </c>
      <c r="J52" s="37" t="s">
        <v>15</v>
      </c>
      <c r="K52" s="37" t="s">
        <v>16</v>
      </c>
      <c r="L52" s="37" t="s">
        <v>47</v>
      </c>
      <c r="M52" s="37" t="s">
        <v>36</v>
      </c>
      <c r="N52" s="32">
        <v>2000</v>
      </c>
      <c r="O52" s="33">
        <v>20685</v>
      </c>
      <c r="P52" s="33">
        <f t="shared" si="0"/>
        <v>22753.500000000004</v>
      </c>
      <c r="Q52" s="34">
        <v>0.7</v>
      </c>
      <c r="R52" s="35">
        <f t="shared" si="1"/>
        <v>15927.45</v>
      </c>
      <c r="S52" s="35">
        <f t="shared" si="2"/>
        <v>1479.6962095875142</v>
      </c>
      <c r="T52" s="33">
        <f t="shared" si="3"/>
        <v>22776253.5</v>
      </c>
      <c r="U52" s="33">
        <f t="shared" ref="U52:U53" si="21">T52*($U$2-N52)*1.5%</f>
        <v>7516163.6549999993</v>
      </c>
      <c r="V52" s="33">
        <f t="shared" ref="V52:V53" si="22">T52-U52</f>
        <v>15260089.845000001</v>
      </c>
      <c r="AC52" s="58"/>
      <c r="AD52" s="58"/>
    </row>
    <row r="53" spans="2:30" s="27" customFormat="1">
      <c r="B53" s="36">
        <f t="shared" si="17"/>
        <v>24</v>
      </c>
      <c r="C53" s="43" t="s">
        <v>117</v>
      </c>
      <c r="D53" s="28" t="s">
        <v>25</v>
      </c>
      <c r="E53" s="30">
        <v>1200</v>
      </c>
      <c r="F53" s="30">
        <v>1200</v>
      </c>
      <c r="G53" s="30">
        <v>7.1</v>
      </c>
      <c r="H53" s="31">
        <v>7</v>
      </c>
      <c r="I53" s="29" t="s">
        <v>14</v>
      </c>
      <c r="J53" s="29" t="s">
        <v>15</v>
      </c>
      <c r="K53" s="29" t="s">
        <v>105</v>
      </c>
      <c r="L53" s="29" t="s">
        <v>51</v>
      </c>
      <c r="M53" s="29" t="s">
        <v>104</v>
      </c>
      <c r="N53" s="32">
        <v>2010</v>
      </c>
      <c r="O53" s="33">
        <v>20685</v>
      </c>
      <c r="P53" s="33">
        <f t="shared" si="0"/>
        <v>22753.500000000004</v>
      </c>
      <c r="Q53" s="34">
        <v>0.7</v>
      </c>
      <c r="R53" s="35">
        <f t="shared" si="1"/>
        <v>15927.45</v>
      </c>
      <c r="S53" s="35">
        <f t="shared" si="2"/>
        <v>1479.6962095875142</v>
      </c>
      <c r="T53" s="33">
        <f t="shared" si="3"/>
        <v>19112940</v>
      </c>
      <c r="U53" s="33">
        <f t="shared" si="21"/>
        <v>3440329.1999999997</v>
      </c>
      <c r="V53" s="33">
        <f t="shared" si="22"/>
        <v>15672610.800000001</v>
      </c>
      <c r="AC53" s="33"/>
      <c r="AD53" s="33"/>
    </row>
    <row r="54" spans="2:30" s="26" customFormat="1">
      <c r="B54" s="36">
        <f t="shared" si="17"/>
        <v>25</v>
      </c>
      <c r="C54" s="48" t="s">
        <v>97</v>
      </c>
      <c r="D54" s="36" t="s">
        <v>25</v>
      </c>
      <c r="E54" s="49">
        <v>420</v>
      </c>
      <c r="F54" s="49">
        <v>1078</v>
      </c>
      <c r="G54" s="49">
        <v>17.7</v>
      </c>
      <c r="H54" s="50">
        <v>1</v>
      </c>
      <c r="I54" s="37" t="s">
        <v>22</v>
      </c>
      <c r="J54" s="37" t="s">
        <v>72</v>
      </c>
      <c r="K54" s="37" t="s">
        <v>45</v>
      </c>
      <c r="L54" s="37" t="s">
        <v>73</v>
      </c>
      <c r="M54" s="37" t="s">
        <v>74</v>
      </c>
      <c r="N54" s="32">
        <v>2000</v>
      </c>
      <c r="O54" s="33">
        <v>17640</v>
      </c>
      <c r="P54" s="33">
        <f t="shared" si="0"/>
        <v>19404</v>
      </c>
      <c r="Q54" s="34">
        <v>0.75</v>
      </c>
      <c r="R54" s="35">
        <f t="shared" si="1"/>
        <v>14553</v>
      </c>
      <c r="S54" s="35">
        <f t="shared" si="2"/>
        <v>1352.0066889632108</v>
      </c>
      <c r="T54" s="33">
        <f t="shared" si="3"/>
        <v>15688134</v>
      </c>
      <c r="U54" s="33">
        <f t="shared" si="20"/>
        <v>6902778.96</v>
      </c>
      <c r="V54" s="33">
        <f>T54-U54</f>
        <v>8785355.0399999991</v>
      </c>
      <c r="AC54" s="58"/>
      <c r="AD54" s="58"/>
    </row>
    <row r="55" spans="2:30" s="26" customFormat="1">
      <c r="B55" s="36">
        <f t="shared" si="17"/>
        <v>26</v>
      </c>
      <c r="C55" s="40" t="s">
        <v>63</v>
      </c>
      <c r="D55" s="36" t="s">
        <v>25</v>
      </c>
      <c r="E55" s="38">
        <v>900</v>
      </c>
      <c r="F55" s="38">
        <v>900</v>
      </c>
      <c r="G55" s="38">
        <v>8.6999999999999993</v>
      </c>
      <c r="H55" s="39">
        <v>8</v>
      </c>
      <c r="I55" s="40" t="s">
        <v>14</v>
      </c>
      <c r="J55" s="40" t="s">
        <v>15</v>
      </c>
      <c r="K55" s="37" t="s">
        <v>16</v>
      </c>
      <c r="L55" s="40" t="s">
        <v>51</v>
      </c>
      <c r="M55" s="37" t="s">
        <v>23</v>
      </c>
      <c r="N55" s="32">
        <v>2000</v>
      </c>
      <c r="O55" s="33">
        <v>20685</v>
      </c>
      <c r="P55" s="33">
        <f t="shared" si="0"/>
        <v>22753.500000000004</v>
      </c>
      <c r="Q55" s="34">
        <v>0.7</v>
      </c>
      <c r="R55" s="35">
        <f t="shared" si="1"/>
        <v>15927.45</v>
      </c>
      <c r="S55" s="35">
        <f t="shared" si="2"/>
        <v>1479.6962095875142</v>
      </c>
      <c r="T55" s="33">
        <f t="shared" si="3"/>
        <v>14334705</v>
      </c>
      <c r="U55" s="33">
        <f t="shared" ref="U55:U56" si="23">T55*($U$2-N55)*1.5%</f>
        <v>4730452.6499999994</v>
      </c>
      <c r="V55" s="33">
        <f t="shared" ref="V55:V58" si="24">T55-U55</f>
        <v>9604252.3500000015</v>
      </c>
      <c r="AC55" s="58"/>
      <c r="AD55" s="58"/>
    </row>
    <row r="56" spans="2:30" s="51" customFormat="1">
      <c r="B56" s="36">
        <f t="shared" si="17"/>
        <v>27</v>
      </c>
      <c r="C56" s="37" t="s">
        <v>39</v>
      </c>
      <c r="D56" s="36" t="s">
        <v>25</v>
      </c>
      <c r="E56" s="38">
        <v>821</v>
      </c>
      <c r="F56" s="38">
        <v>821</v>
      </c>
      <c r="G56" s="38">
        <v>7.2</v>
      </c>
      <c r="H56" s="39">
        <v>7</v>
      </c>
      <c r="I56" s="37" t="s">
        <v>22</v>
      </c>
      <c r="J56" s="37" t="s">
        <v>15</v>
      </c>
      <c r="K56" s="37" t="s">
        <v>16</v>
      </c>
      <c r="L56" s="37" t="s">
        <v>41</v>
      </c>
      <c r="M56" s="37" t="s">
        <v>40</v>
      </c>
      <c r="N56" s="32">
        <v>2000</v>
      </c>
      <c r="O56" s="33">
        <v>20685</v>
      </c>
      <c r="P56" s="33">
        <f t="shared" si="0"/>
        <v>22753.500000000004</v>
      </c>
      <c r="Q56" s="34">
        <v>0.7</v>
      </c>
      <c r="R56" s="35">
        <f t="shared" si="1"/>
        <v>15927.45</v>
      </c>
      <c r="S56" s="35">
        <f t="shared" si="2"/>
        <v>1479.6962095875142</v>
      </c>
      <c r="T56" s="33">
        <f t="shared" si="3"/>
        <v>13076436.450000001</v>
      </c>
      <c r="U56" s="33">
        <f t="shared" si="23"/>
        <v>4315224.0285</v>
      </c>
      <c r="V56" s="33">
        <f t="shared" si="24"/>
        <v>8761212.4215000011</v>
      </c>
      <c r="AC56" s="59"/>
      <c r="AD56" s="59"/>
    </row>
    <row r="57" spans="2:30" s="26" customFormat="1">
      <c r="B57" s="36">
        <f t="shared" si="17"/>
        <v>28</v>
      </c>
      <c r="C57" s="41" t="s">
        <v>3</v>
      </c>
      <c r="D57" s="36" t="s">
        <v>25</v>
      </c>
      <c r="E57" s="38">
        <v>639</v>
      </c>
      <c r="F57" s="38">
        <v>639</v>
      </c>
      <c r="G57" s="38">
        <v>8.1999999999999993</v>
      </c>
      <c r="H57" s="39">
        <v>8</v>
      </c>
      <c r="I57" s="40" t="s">
        <v>14</v>
      </c>
      <c r="J57" s="29" t="s">
        <v>53</v>
      </c>
      <c r="K57" s="40" t="s">
        <v>92</v>
      </c>
      <c r="L57" s="40" t="s">
        <v>4</v>
      </c>
      <c r="M57" s="37" t="s">
        <v>23</v>
      </c>
      <c r="N57" s="32">
        <v>2000</v>
      </c>
      <c r="O57" s="33">
        <v>17640</v>
      </c>
      <c r="P57" s="33">
        <f t="shared" si="0"/>
        <v>19404</v>
      </c>
      <c r="Q57" s="34">
        <v>0.4</v>
      </c>
      <c r="R57" s="35">
        <f t="shared" si="1"/>
        <v>7761.6</v>
      </c>
      <c r="S57" s="35">
        <f t="shared" si="2"/>
        <v>721.07023411371244</v>
      </c>
      <c r="T57" s="33">
        <f t="shared" si="3"/>
        <v>4959662.4000000004</v>
      </c>
      <c r="U57" s="33">
        <f t="shared" ref="U57:U58" si="25">T57*($U$2-N57)*2%</f>
        <v>2182251.4560000002</v>
      </c>
      <c r="V57" s="33">
        <f t="shared" si="24"/>
        <v>2777410.9440000001</v>
      </c>
      <c r="AC57" s="58"/>
      <c r="AD57" s="58"/>
    </row>
    <row r="58" spans="2:30" s="26" customFormat="1">
      <c r="B58" s="36">
        <f t="shared" si="17"/>
        <v>29</v>
      </c>
      <c r="C58" s="40" t="s">
        <v>52</v>
      </c>
      <c r="D58" s="36" t="s">
        <v>25</v>
      </c>
      <c r="E58" s="38">
        <v>285</v>
      </c>
      <c r="F58" s="38">
        <v>285</v>
      </c>
      <c r="G58" s="38">
        <v>7.5</v>
      </c>
      <c r="H58" s="39">
        <v>7</v>
      </c>
      <c r="I58" s="40" t="s">
        <v>14</v>
      </c>
      <c r="J58" s="29" t="s">
        <v>53</v>
      </c>
      <c r="K58" s="40" t="s">
        <v>92</v>
      </c>
      <c r="L58" s="40" t="s">
        <v>4</v>
      </c>
      <c r="M58" s="37" t="s">
        <v>49</v>
      </c>
      <c r="N58" s="32">
        <v>2000</v>
      </c>
      <c r="O58" s="33">
        <v>17640</v>
      </c>
      <c r="P58" s="33">
        <f t="shared" si="0"/>
        <v>19404</v>
      </c>
      <c r="Q58" s="34">
        <v>0.4</v>
      </c>
      <c r="R58" s="35">
        <f t="shared" si="1"/>
        <v>7761.6</v>
      </c>
      <c r="S58" s="35">
        <f t="shared" si="2"/>
        <v>721.07023411371244</v>
      </c>
      <c r="T58" s="33">
        <f t="shared" si="3"/>
        <v>2212056</v>
      </c>
      <c r="U58" s="33">
        <f t="shared" si="25"/>
        <v>973304.64</v>
      </c>
      <c r="V58" s="33">
        <f t="shared" si="24"/>
        <v>1238751.3599999999</v>
      </c>
      <c r="AC58" s="58"/>
      <c r="AD58" s="58"/>
    </row>
    <row r="59" spans="2:30" s="26" customFormat="1">
      <c r="B59" s="36">
        <f t="shared" si="17"/>
        <v>30</v>
      </c>
      <c r="C59" s="41" t="s">
        <v>93</v>
      </c>
      <c r="D59" s="36" t="s">
        <v>25</v>
      </c>
      <c r="E59" s="38">
        <v>20</v>
      </c>
      <c r="F59" s="38">
        <v>20</v>
      </c>
      <c r="G59" s="38">
        <v>2.6</v>
      </c>
      <c r="H59" s="39">
        <v>2</v>
      </c>
      <c r="I59" s="37" t="s">
        <v>14</v>
      </c>
      <c r="J59" s="37" t="s">
        <v>15</v>
      </c>
      <c r="K59" s="37" t="s">
        <v>16</v>
      </c>
      <c r="L59" s="37" t="s">
        <v>51</v>
      </c>
      <c r="M59" s="37" t="s">
        <v>91</v>
      </c>
      <c r="N59" s="32">
        <v>2000</v>
      </c>
      <c r="O59" s="33">
        <v>20685</v>
      </c>
      <c r="P59" s="33">
        <f t="shared" si="0"/>
        <v>22753.500000000004</v>
      </c>
      <c r="Q59" s="34">
        <v>0.65</v>
      </c>
      <c r="R59" s="35">
        <f t="shared" si="1"/>
        <v>14789.775000000003</v>
      </c>
      <c r="S59" s="35">
        <f t="shared" si="2"/>
        <v>1374.0036231884062</v>
      </c>
      <c r="T59" s="33">
        <f t="shared" si="3"/>
        <v>295795.50000000006</v>
      </c>
      <c r="U59" s="33">
        <f t="shared" ref="U59:U60" si="26">T59*($U$2-N59)*1.5%</f>
        <v>97612.515000000014</v>
      </c>
      <c r="V59" s="33">
        <f t="shared" ref="V59:V60" si="27">T59-U59</f>
        <v>198182.98500000004</v>
      </c>
      <c r="AC59" s="58"/>
      <c r="AD59" s="58"/>
    </row>
    <row r="60" spans="2:30" s="26" customFormat="1">
      <c r="B60" s="52">
        <f t="shared" si="17"/>
        <v>31</v>
      </c>
      <c r="C60" s="53" t="s">
        <v>111</v>
      </c>
      <c r="D60" s="52" t="s">
        <v>25</v>
      </c>
      <c r="E60" s="54"/>
      <c r="F60" s="54"/>
      <c r="G60" s="55"/>
      <c r="H60" s="55"/>
      <c r="I60" s="53"/>
      <c r="J60" s="53" t="s">
        <v>15</v>
      </c>
      <c r="K60" s="53" t="s">
        <v>16</v>
      </c>
      <c r="L60" s="53" t="s">
        <v>4</v>
      </c>
      <c r="M60" s="53" t="s">
        <v>23</v>
      </c>
      <c r="N60" s="32">
        <v>2010</v>
      </c>
      <c r="O60" s="33">
        <v>20685</v>
      </c>
      <c r="P60" s="33">
        <f t="shared" si="0"/>
        <v>22753.500000000004</v>
      </c>
      <c r="Q60" s="34">
        <v>0.7</v>
      </c>
      <c r="R60" s="35">
        <f t="shared" si="1"/>
        <v>15927.45</v>
      </c>
      <c r="S60" s="35">
        <f t="shared" si="2"/>
        <v>1479.6962095875142</v>
      </c>
      <c r="T60" s="33">
        <f t="shared" si="3"/>
        <v>0</v>
      </c>
      <c r="U60" s="33">
        <f t="shared" si="26"/>
        <v>0</v>
      </c>
      <c r="V60" s="33">
        <f t="shared" si="27"/>
        <v>0</v>
      </c>
      <c r="AC60" s="58"/>
      <c r="AD60" s="58"/>
    </row>
    <row r="62" spans="2:30">
      <c r="C62" s="5" t="s">
        <v>126</v>
      </c>
    </row>
    <row r="63" spans="2:30">
      <c r="C63" s="3"/>
      <c r="D63" s="63" t="s">
        <v>127</v>
      </c>
      <c r="E63" s="64"/>
      <c r="F63" s="64"/>
      <c r="G63" s="64"/>
      <c r="H63" s="64"/>
      <c r="I63" s="64"/>
      <c r="J63" s="65"/>
    </row>
    <row r="64" spans="2:30">
      <c r="C64" s="4"/>
      <c r="D64" s="63" t="s">
        <v>128</v>
      </c>
      <c r="E64" s="64"/>
      <c r="F64" s="64"/>
      <c r="G64" s="64"/>
      <c r="H64" s="64"/>
      <c r="I64" s="64"/>
      <c r="J64" s="65"/>
    </row>
    <row r="77" spans="12:12">
      <c r="L77" s="7">
        <v>306882.42</v>
      </c>
    </row>
    <row r="78" spans="12:12">
      <c r="L78" s="5">
        <f>L77/4047</f>
        <v>75.829607116382505</v>
      </c>
    </row>
    <row r="87" spans="8:8">
      <c r="H87" s="9"/>
    </row>
    <row r="88" spans="8:8">
      <c r="H88" s="8"/>
    </row>
  </sheetData>
  <autoFilter ref="B3:V60"/>
  <mergeCells count="6">
    <mergeCell ref="D63:J63"/>
    <mergeCell ref="D64:J64"/>
    <mergeCell ref="O2:P2"/>
    <mergeCell ref="Z13:AB13"/>
    <mergeCell ref="Z14:AB14"/>
    <mergeCell ref="Z15:AB15"/>
  </mergeCells>
  <printOptions horizontalCentered="1"/>
  <pageMargins left="0.2" right="0.2" top="0.4" bottom="0.4" header="0.1" footer="0.1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G11"/>
  <sheetViews>
    <sheetView topLeftCell="N1" zoomScaleNormal="100" workbookViewId="0">
      <selection activeCell="AB11" sqref="AB11"/>
    </sheetView>
  </sheetViews>
  <sheetFormatPr defaultRowHeight="15"/>
  <cols>
    <col min="4" max="4" width="14.28515625" style="17" bestFit="1" customWidth="1"/>
    <col min="6" max="6" width="7.42578125" style="17" bestFit="1" customWidth="1"/>
    <col min="7" max="7" width="10" style="17" bestFit="1" customWidth="1"/>
  </cols>
  <sheetData>
    <row r="5" spans="4:7">
      <c r="F5" s="17">
        <v>50000</v>
      </c>
    </row>
    <row r="6" spans="4:7">
      <c r="F6" s="17">
        <v>15000</v>
      </c>
    </row>
    <row r="7" spans="4:7">
      <c r="F7" s="17">
        <f>SUM(F5:F6)</f>
        <v>65000</v>
      </c>
      <c r="G7" s="17">
        <f>F7*100</f>
        <v>6500000</v>
      </c>
    </row>
    <row r="8" spans="4:7">
      <c r="D8" s="17">
        <v>323.5</v>
      </c>
    </row>
    <row r="9" spans="4:7">
      <c r="D9" s="17">
        <v>5500000</v>
      </c>
    </row>
    <row r="10" spans="4:7">
      <c r="D10" s="17">
        <f>D9*D8</f>
        <v>1779250000</v>
      </c>
    </row>
    <row r="11" spans="4:7">
      <c r="D11" s="16">
        <f>D10/10^7</f>
        <v>177.92500000000001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3:T12"/>
  <sheetViews>
    <sheetView workbookViewId="0">
      <selection activeCell="I22" sqref="I22"/>
    </sheetView>
  </sheetViews>
  <sheetFormatPr defaultRowHeight="15"/>
  <cols>
    <col min="13" max="13" width="10.28515625" bestFit="1" customWidth="1"/>
    <col min="14" max="14" width="10" bestFit="1" customWidth="1"/>
    <col min="15" max="15" width="16.85546875" bestFit="1" customWidth="1"/>
    <col min="18" max="18" width="21.85546875" bestFit="1" customWidth="1"/>
    <col min="20" max="20" width="13.85546875" bestFit="1" customWidth="1"/>
  </cols>
  <sheetData>
    <row r="3" spans="13:20">
      <c r="O3">
        <v>9.0299999999999994</v>
      </c>
      <c r="P3" t="s">
        <v>151</v>
      </c>
    </row>
    <row r="4" spans="13:20">
      <c r="O4" s="17">
        <f>90*10^5</f>
        <v>9000000</v>
      </c>
      <c r="P4" t="s">
        <v>152</v>
      </c>
      <c r="R4" t="s">
        <v>153</v>
      </c>
      <c r="S4" t="s">
        <v>154</v>
      </c>
      <c r="T4" t="s">
        <v>155</v>
      </c>
    </row>
    <row r="5" spans="13:20">
      <c r="N5" s="17">
        <f>O5*0.8</f>
        <v>5600000</v>
      </c>
      <c r="O5" s="17">
        <f>70*10^5</f>
        <v>7000000</v>
      </c>
    </row>
    <row r="6" spans="13:20">
      <c r="N6" s="16"/>
      <c r="O6" s="17"/>
    </row>
    <row r="7" spans="13:20">
      <c r="O7" s="62"/>
    </row>
    <row r="9" spans="13:20">
      <c r="O9" s="17">
        <v>323.5</v>
      </c>
    </row>
    <row r="10" spans="13:20">
      <c r="O10" s="17">
        <f>56*10^5</f>
        <v>5600000</v>
      </c>
    </row>
    <row r="11" spans="13:20">
      <c r="M11" s="7">
        <v>396056.97</v>
      </c>
      <c r="O11" s="17">
        <f>O10*O9</f>
        <v>1811600000</v>
      </c>
    </row>
    <row r="12" spans="13:20">
      <c r="M12">
        <f>M11/4047</f>
        <v>97.864336545589325</v>
      </c>
      <c r="O12" s="16">
        <f>O11/10^7</f>
        <v>181.16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Plant Buildings</vt:lpstr>
      <vt:lpstr>Sheet1</vt:lpstr>
      <vt:lpstr>Sheet2</vt:lpstr>
      <vt:lpstr>'Plant Buildings'!Print_Area</vt:lpstr>
      <vt:lpstr>'Plant Buildings'!Print_Titles</vt:lpstr>
    </vt:vector>
  </TitlesOfParts>
  <Company>MCPI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admin</cp:lastModifiedBy>
  <cp:lastPrinted>2020-11-25T13:08:04Z</cp:lastPrinted>
  <dcterms:created xsi:type="dcterms:W3CDTF">2010-10-21T04:34:51Z</dcterms:created>
  <dcterms:modified xsi:type="dcterms:W3CDTF">2023-01-07T12:25:01Z</dcterms:modified>
</cp:coreProperties>
</file>