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omments1.xml" ContentType="application/vnd.openxmlformats-officedocument.spreadsheetml.comments+xml"/>
  <Override PartName="/xl/drawings/drawing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inancialanalyst3\Desktop\Plaasto TEV\RK WORKING\V1 Report\"/>
    </mc:Choice>
  </mc:AlternateContent>
  <bookViews>
    <workbookView xWindow="0" yWindow="0" windowWidth="20490" windowHeight="7755" tabRatio="933" firstSheet="1" activeTab="6"/>
  </bookViews>
  <sheets>
    <sheet name="Basic Details" sheetId="20" r:id="rId1"/>
    <sheet name="Break-Even Sales" sheetId="22" r:id="rId2"/>
    <sheet name="P&amp;L (Hist)" sheetId="19" r:id="rId3"/>
    <sheet name="BS (Hist)" sheetId="18" r:id="rId4"/>
    <sheet name="Ratio" sheetId="21" r:id="rId5"/>
    <sheet name="PL" sheetId="1" r:id="rId6"/>
    <sheet name="Sales Realisation" sheetId="6" r:id="rId7"/>
    <sheet name="Raw Material" sheetId="7" r:id="rId8"/>
    <sheet name="BS" sheetId="14" r:id="rId9"/>
    <sheet name="CFS" sheetId="13" r:id="rId10"/>
    <sheet name="Working Capital" sheetId="5" r:id="rId11"/>
    <sheet name="Project Cost" sheetId="2" r:id="rId12"/>
    <sheet name="IRR" sheetId="16" r:id="rId13"/>
    <sheet name="DSCR" sheetId="15" r:id="rId14"/>
    <sheet name="Tax" sheetId="12" r:id="rId15"/>
    <sheet name="Plant and Machinery" sheetId="3" r:id="rId16"/>
    <sheet name="Contingencies" sheetId="4" r:id="rId17"/>
    <sheet name="Power Expenses" sheetId="8" r:id="rId18"/>
    <sheet name="Salary &amp; Wages" sheetId="9" r:id="rId19"/>
    <sheet name="Amortization Schedule" sheetId="10" r:id="rId20"/>
    <sheet name="Depreciation" sheetId="11" r:id="rId21"/>
  </sheets>
  <calcPr calcId="152511" iterate="1"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 i="6" l="1"/>
  <c r="E20" i="1"/>
  <c r="F20" i="1" s="1"/>
  <c r="D20" i="1"/>
  <c r="C20" i="1"/>
  <c r="E6" i="13"/>
  <c r="C6" i="13"/>
  <c r="C19" i="14"/>
  <c r="F6" i="13"/>
  <c r="D6" i="13"/>
  <c r="B20" i="1"/>
  <c r="Q16" i="1" s="1"/>
  <c r="K3" i="1"/>
  <c r="D6" i="22"/>
  <c r="E6" i="22"/>
  <c r="F6" i="22"/>
  <c r="G6" i="22"/>
  <c r="H6" i="22"/>
  <c r="I6" i="22"/>
  <c r="C6" i="22"/>
  <c r="D26" i="22"/>
  <c r="E26" i="22"/>
  <c r="F26" i="22"/>
  <c r="G26" i="22"/>
  <c r="H26" i="22"/>
  <c r="I26" i="22"/>
  <c r="C26" i="22"/>
  <c r="D24" i="22"/>
  <c r="E24" i="22"/>
  <c r="F24" i="22"/>
  <c r="G24" i="22"/>
  <c r="H24" i="22"/>
  <c r="I24" i="22"/>
  <c r="C24" i="22"/>
  <c r="D23" i="22"/>
  <c r="E23" i="22"/>
  <c r="F23" i="22"/>
  <c r="G23" i="22"/>
  <c r="H23" i="22"/>
  <c r="I23" i="22"/>
  <c r="C23" i="22"/>
  <c r="D22" i="22"/>
  <c r="E22" i="22"/>
  <c r="F22" i="22"/>
  <c r="G22" i="22"/>
  <c r="H22" i="22"/>
  <c r="I22" i="22"/>
  <c r="C22" i="22"/>
  <c r="D21" i="22"/>
  <c r="E21" i="22"/>
  <c r="F21" i="22"/>
  <c r="G21" i="22"/>
  <c r="H21" i="22"/>
  <c r="I21" i="22"/>
  <c r="C21" i="22"/>
  <c r="D16" i="22"/>
  <c r="E16" i="22"/>
  <c r="F16" i="22"/>
  <c r="G16" i="22"/>
  <c r="H16" i="22"/>
  <c r="I16" i="22"/>
  <c r="C16" i="22"/>
  <c r="D15" i="22"/>
  <c r="E15" i="22"/>
  <c r="F15" i="22"/>
  <c r="G15" i="22"/>
  <c r="H15" i="22"/>
  <c r="I15" i="22"/>
  <c r="C15" i="22"/>
  <c r="D14" i="22"/>
  <c r="E14" i="22"/>
  <c r="F14" i="22"/>
  <c r="G14" i="22"/>
  <c r="H14" i="22"/>
  <c r="I14" i="22"/>
  <c r="C14" i="22"/>
  <c r="D13" i="22"/>
  <c r="E13" i="22"/>
  <c r="F13" i="22"/>
  <c r="F17" i="22" s="1"/>
  <c r="G13" i="22"/>
  <c r="G17" i="22" s="1"/>
  <c r="H13" i="22"/>
  <c r="I13" i="22"/>
  <c r="C13" i="22"/>
  <c r="C17" i="22" s="1"/>
  <c r="D12" i="22"/>
  <c r="E12" i="22"/>
  <c r="F12" i="22"/>
  <c r="G12" i="22"/>
  <c r="H12" i="22"/>
  <c r="I12" i="22"/>
  <c r="C12" i="22"/>
  <c r="D11" i="22"/>
  <c r="D17" i="22" s="1"/>
  <c r="D29" i="22" s="1"/>
  <c r="E11" i="22"/>
  <c r="E17" i="22" s="1"/>
  <c r="E29" i="22" s="1"/>
  <c r="F11" i="22"/>
  <c r="G11" i="22"/>
  <c r="H11" i="22"/>
  <c r="H17" i="22" s="1"/>
  <c r="H29" i="22" s="1"/>
  <c r="I11" i="22"/>
  <c r="I17" i="22" s="1"/>
  <c r="I29" i="22" s="1"/>
  <c r="C11" i="22"/>
  <c r="D7" i="22"/>
  <c r="E7" i="22"/>
  <c r="F7" i="22"/>
  <c r="F29" i="22" s="1"/>
  <c r="G7" i="22"/>
  <c r="H7" i="22"/>
  <c r="I7" i="22"/>
  <c r="C7" i="22"/>
  <c r="C29" i="22" s="1"/>
  <c r="G6" i="13" l="1"/>
  <c r="G20" i="1"/>
  <c r="G29" i="22"/>
  <c r="D21" i="16"/>
  <c r="B12" i="6"/>
  <c r="B13" i="6" s="1"/>
  <c r="B14" i="6" s="1"/>
  <c r="B11" i="6"/>
  <c r="B10" i="6"/>
  <c r="B9" i="6"/>
  <c r="H6" i="13" l="1"/>
  <c r="H20" i="1"/>
  <c r="I6" i="13" s="1"/>
  <c r="C8" i="6"/>
  <c r="K11" i="2" l="1"/>
  <c r="Q21" i="16" l="1"/>
  <c r="N25" i="16"/>
  <c r="N23" i="16"/>
  <c r="N22" i="16"/>
  <c r="C18" i="15"/>
  <c r="D25" i="14" l="1"/>
  <c r="E25" i="14"/>
  <c r="F25" i="14"/>
  <c r="G25" i="14"/>
  <c r="H25" i="14"/>
  <c r="I25" i="14"/>
  <c r="C25" i="14"/>
  <c r="I12" i="13" l="1"/>
  <c r="H12" i="13"/>
  <c r="G12" i="13"/>
  <c r="F12" i="13"/>
  <c r="E12" i="13"/>
  <c r="D12" i="13"/>
  <c r="C12" i="13"/>
  <c r="H10" i="1"/>
  <c r="G10" i="1"/>
  <c r="F10" i="1"/>
  <c r="H21" i="8"/>
  <c r="G21" i="8"/>
  <c r="F21" i="8"/>
  <c r="E21" i="8"/>
  <c r="D21" i="8"/>
  <c r="C21" i="8"/>
  <c r="B21" i="8"/>
  <c r="H19" i="8"/>
  <c r="F19" i="8"/>
  <c r="D19" i="8"/>
  <c r="G21" i="14"/>
  <c r="H21" i="14"/>
  <c r="I21" i="14"/>
  <c r="I10" i="5"/>
  <c r="H10" i="5"/>
  <c r="G10" i="5"/>
  <c r="D6" i="5"/>
  <c r="E6" i="5"/>
  <c r="F6" i="5"/>
  <c r="D7" i="5"/>
  <c r="E7" i="5"/>
  <c r="F7" i="5"/>
  <c r="C7" i="5"/>
  <c r="C6" i="5"/>
  <c r="H5" i="5" l="1"/>
  <c r="I5" i="5" s="1"/>
  <c r="G5" i="5"/>
  <c r="E16" i="18"/>
  <c r="D16" i="18"/>
  <c r="I22" i="13"/>
  <c r="H22" i="13"/>
  <c r="G22" i="13"/>
  <c r="F22" i="13"/>
  <c r="E22" i="13"/>
  <c r="D22" i="13"/>
  <c r="C7" i="13"/>
  <c r="B7" i="13"/>
  <c r="I21" i="13"/>
  <c r="H21" i="13"/>
  <c r="G21" i="13"/>
  <c r="F21" i="13"/>
  <c r="E21" i="13"/>
  <c r="D21" i="13"/>
  <c r="B5" i="14"/>
  <c r="G8" i="9" l="1"/>
  <c r="G9" i="9"/>
  <c r="G10" i="9"/>
  <c r="G11" i="9"/>
  <c r="G12" i="9"/>
  <c r="G13" i="9"/>
  <c r="G14" i="9"/>
  <c r="E18" i="9"/>
  <c r="D29" i="11"/>
  <c r="B17" i="1"/>
  <c r="C17" i="1"/>
  <c r="G15" i="9" l="1"/>
  <c r="H5" i="18" l="1"/>
  <c r="K6" i="18"/>
  <c r="J6" i="18"/>
  <c r="I6" i="18"/>
  <c r="H6" i="18"/>
  <c r="K10" i="18"/>
  <c r="J10" i="18"/>
  <c r="I10" i="18"/>
  <c r="H10" i="18"/>
  <c r="H9" i="18"/>
  <c r="I9" i="18"/>
  <c r="J9" i="18"/>
  <c r="K9" i="18"/>
  <c r="K8" i="18"/>
  <c r="J8" i="18"/>
  <c r="I8" i="18"/>
  <c r="H8" i="18"/>
  <c r="N11" i="7" l="1"/>
  <c r="M11" i="7"/>
  <c r="B14" i="18" l="1"/>
  <c r="C14" i="18"/>
  <c r="D14" i="18"/>
  <c r="E14" i="18"/>
  <c r="M20" i="19"/>
  <c r="L20" i="19"/>
  <c r="K20" i="19"/>
  <c r="J20" i="19"/>
  <c r="M17" i="19"/>
  <c r="L17" i="19"/>
  <c r="K17" i="19"/>
  <c r="J17" i="19"/>
  <c r="M14" i="19"/>
  <c r="L14" i="19"/>
  <c r="K14" i="19"/>
  <c r="J14" i="19"/>
  <c r="M11" i="19"/>
  <c r="L11" i="19"/>
  <c r="K11" i="19"/>
  <c r="J11" i="19"/>
  <c r="M9" i="19"/>
  <c r="L9" i="19"/>
  <c r="K9" i="19"/>
  <c r="J9" i="19"/>
  <c r="K6" i="19"/>
  <c r="M5" i="19"/>
  <c r="L5" i="19"/>
  <c r="K5" i="19"/>
  <c r="J5" i="19"/>
  <c r="D57" i="6"/>
  <c r="E57" i="6"/>
  <c r="F57" i="6" s="1"/>
  <c r="B16" i="7"/>
  <c r="F45" i="6" l="1"/>
  <c r="G57" i="6"/>
  <c r="H57" i="6" s="1"/>
  <c r="G45" i="6" l="1"/>
  <c r="H45" i="6" s="1"/>
  <c r="I17" i="5"/>
  <c r="J17" i="5"/>
  <c r="H17" i="5"/>
  <c r="B32" i="6"/>
  <c r="E22" i="6"/>
  <c r="C32" i="6" l="1"/>
  <c r="B16" i="8"/>
  <c r="B17" i="8" s="1"/>
  <c r="B43" i="6"/>
  <c r="B5" i="1" s="1"/>
  <c r="Q4" i="1" s="1"/>
  <c r="C9" i="6"/>
  <c r="C16" i="7"/>
  <c r="C16" i="8" s="1"/>
  <c r="E23" i="6"/>
  <c r="B27" i="6" s="1"/>
  <c r="B44" i="6"/>
  <c r="D16" i="7"/>
  <c r="D16" i="8" s="1"/>
  <c r="B33" i="6"/>
  <c r="R11" i="1"/>
  <c r="S11" i="1"/>
  <c r="T11" i="1"/>
  <c r="U11" i="1"/>
  <c r="V11" i="1"/>
  <c r="W11" i="1"/>
  <c r="R12" i="1"/>
  <c r="S12" i="1"/>
  <c r="T12" i="1"/>
  <c r="U12" i="1"/>
  <c r="V12" i="1"/>
  <c r="W12" i="1"/>
  <c r="Q12" i="1"/>
  <c r="Q11" i="1"/>
  <c r="Q18" i="1"/>
  <c r="D22" i="16"/>
  <c r="E21" i="16"/>
  <c r="E22" i="16" s="1"/>
  <c r="B60" i="6" l="1"/>
  <c r="B58" i="6"/>
  <c r="C33" i="6"/>
  <c r="C44" i="6" s="1"/>
  <c r="C43" i="6"/>
  <c r="C5" i="1" s="1"/>
  <c r="R4" i="1" s="1"/>
  <c r="C10" i="6"/>
  <c r="B34" i="6"/>
  <c r="D43" i="6" s="1"/>
  <c r="D5" i="1" s="1"/>
  <c r="S4" i="1" s="1"/>
  <c r="F21" i="16"/>
  <c r="F22" i="16" s="1"/>
  <c r="C60" i="6" l="1"/>
  <c r="C59" i="6"/>
  <c r="C58" i="6"/>
  <c r="E16" i="7"/>
  <c r="E16" i="8" s="1"/>
  <c r="C34" i="6"/>
  <c r="D44" i="6" s="1"/>
  <c r="B35" i="6"/>
  <c r="E43" i="6" s="1"/>
  <c r="E5" i="1" s="1"/>
  <c r="T4" i="1" s="1"/>
  <c r="C11" i="6"/>
  <c r="G21" i="16"/>
  <c r="G22" i="16" s="1"/>
  <c r="D60" i="6" l="1"/>
  <c r="D59" i="6"/>
  <c r="D58" i="6"/>
  <c r="C12" i="6"/>
  <c r="F16" i="7"/>
  <c r="B36" i="6"/>
  <c r="C35" i="6"/>
  <c r="E44" i="6" s="1"/>
  <c r="H21" i="16"/>
  <c r="H22" i="16" s="1"/>
  <c r="E59" i="6" l="1"/>
  <c r="E60" i="6"/>
  <c r="E58" i="6"/>
  <c r="C36" i="6"/>
  <c r="F44" i="6" s="1"/>
  <c r="F48" i="6" s="1"/>
  <c r="G7" i="5" s="1"/>
  <c r="F43" i="6"/>
  <c r="F5" i="1" s="1"/>
  <c r="U4" i="1" s="1"/>
  <c r="F16" i="8"/>
  <c r="F17" i="8" s="1"/>
  <c r="B37" i="6"/>
  <c r="G16" i="7"/>
  <c r="C13" i="6"/>
  <c r="I21" i="16"/>
  <c r="C37" i="6" l="1"/>
  <c r="G44" i="6" s="1"/>
  <c r="G48" i="6" s="1"/>
  <c r="H7" i="5" s="1"/>
  <c r="G43" i="6"/>
  <c r="G5" i="1" s="1"/>
  <c r="V4" i="1" s="1"/>
  <c r="G16" i="8"/>
  <c r="G17" i="8" s="1"/>
  <c r="C14" i="6"/>
  <c r="H16" i="7"/>
  <c r="B38" i="6"/>
  <c r="J21" i="16"/>
  <c r="I22" i="16"/>
  <c r="C38" i="6" l="1"/>
  <c r="H44" i="6" s="1"/>
  <c r="H48" i="6" s="1"/>
  <c r="I7" i="5" s="1"/>
  <c r="H43" i="6"/>
  <c r="H5" i="1" s="1"/>
  <c r="W4" i="1" s="1"/>
  <c r="H16" i="8"/>
  <c r="H17" i="8" s="1"/>
  <c r="J22" i="16"/>
  <c r="C28" i="14" l="1"/>
  <c r="D28" i="14" s="1"/>
  <c r="E28" i="14" s="1"/>
  <c r="F28" i="14" s="1"/>
  <c r="G28" i="14" s="1"/>
  <c r="H28" i="14" s="1"/>
  <c r="C8" i="14"/>
  <c r="D8" i="14" s="1"/>
  <c r="E8" i="14" s="1"/>
  <c r="F8" i="14" s="1"/>
  <c r="G8" i="14" s="1"/>
  <c r="H8" i="14" s="1"/>
  <c r="I8" i="14" s="1"/>
  <c r="E7" i="14"/>
  <c r="D7" i="14"/>
  <c r="C5" i="14"/>
  <c r="D5" i="14" s="1"/>
  <c r="E5" i="14" s="1"/>
  <c r="F5" i="14" s="1"/>
  <c r="G5" i="14" s="1"/>
  <c r="H5" i="14" s="1"/>
  <c r="I5" i="14" s="1"/>
  <c r="E12" i="15"/>
  <c r="D12" i="15"/>
  <c r="O25" i="1"/>
  <c r="N25" i="1"/>
  <c r="M25" i="1"/>
  <c r="L25" i="1"/>
  <c r="K25" i="1"/>
  <c r="O26" i="1"/>
  <c r="N26" i="1"/>
  <c r="M26" i="1"/>
  <c r="L26" i="1"/>
  <c r="K26" i="1"/>
  <c r="J26" i="1"/>
  <c r="O24" i="1"/>
  <c r="N24" i="1"/>
  <c r="M24" i="1"/>
  <c r="L24" i="1"/>
  <c r="K24" i="1"/>
  <c r="J24" i="1"/>
  <c r="O23" i="1"/>
  <c r="N23" i="1"/>
  <c r="M23" i="1"/>
  <c r="L23" i="1"/>
  <c r="K23" i="1"/>
  <c r="D33" i="1"/>
  <c r="S18" i="1" s="1"/>
  <c r="C33" i="1"/>
  <c r="R18" i="1" s="1"/>
  <c r="K2" i="10"/>
  <c r="K11" i="10"/>
  <c r="K10" i="10"/>
  <c r="K9" i="10"/>
  <c r="K8" i="10"/>
  <c r="L11" i="10"/>
  <c r="L10" i="10"/>
  <c r="L9" i="10"/>
  <c r="L8" i="10"/>
  <c r="M11" i="10"/>
  <c r="M10" i="10"/>
  <c r="M9" i="10"/>
  <c r="M8" i="10"/>
  <c r="N8" i="10"/>
  <c r="O19" i="1"/>
  <c r="N19" i="1"/>
  <c r="M19" i="1"/>
  <c r="L19" i="1"/>
  <c r="K19" i="1"/>
  <c r="J19" i="1"/>
  <c r="O18" i="1"/>
  <c r="N18" i="1"/>
  <c r="M18" i="1"/>
  <c r="L18" i="1"/>
  <c r="K18" i="1"/>
  <c r="J18" i="1"/>
  <c r="F14" i="9"/>
  <c r="F13" i="9"/>
  <c r="F12" i="9"/>
  <c r="F11" i="9"/>
  <c r="F10" i="9"/>
  <c r="F8" i="9"/>
  <c r="F9" i="9"/>
  <c r="J14" i="1"/>
  <c r="E15" i="9" l="1"/>
  <c r="E16" i="9" s="1"/>
  <c r="C17" i="8"/>
  <c r="D17" i="8"/>
  <c r="E17" i="8"/>
  <c r="B20" i="8"/>
  <c r="C19" i="8"/>
  <c r="D7" i="7"/>
  <c r="O15" i="1"/>
  <c r="N15" i="1"/>
  <c r="M15" i="1"/>
  <c r="L15" i="1"/>
  <c r="K15" i="1"/>
  <c r="J15" i="1"/>
  <c r="O14" i="1"/>
  <c r="N14" i="1"/>
  <c r="M14" i="1"/>
  <c r="L14" i="1"/>
  <c r="K14" i="1"/>
  <c r="M12" i="10"/>
  <c r="N9" i="10"/>
  <c r="N10" i="10" s="1"/>
  <c r="N11" i="10" s="1"/>
  <c r="K13" i="10"/>
  <c r="L13" i="10"/>
  <c r="M13" i="10"/>
  <c r="K14" i="10"/>
  <c r="L14" i="10"/>
  <c r="M14" i="10"/>
  <c r="K15" i="10"/>
  <c r="L15" i="10"/>
  <c r="M15" i="10"/>
  <c r="K16" i="10"/>
  <c r="L16" i="10"/>
  <c r="M16" i="10"/>
  <c r="K18" i="10"/>
  <c r="L18" i="10"/>
  <c r="M18" i="10"/>
  <c r="K19" i="10"/>
  <c r="L19" i="10"/>
  <c r="M19" i="10"/>
  <c r="K20" i="10"/>
  <c r="L20" i="10"/>
  <c r="M20" i="10"/>
  <c r="K21" i="10"/>
  <c r="L21" i="10"/>
  <c r="M21" i="10"/>
  <c r="K23" i="10"/>
  <c r="L23" i="10"/>
  <c r="M23" i="10"/>
  <c r="K24" i="10"/>
  <c r="L24" i="10"/>
  <c r="M24" i="10"/>
  <c r="K25" i="10"/>
  <c r="K27" i="10" s="1"/>
  <c r="G12" i="15" s="1"/>
  <c r="L25" i="10"/>
  <c r="M25" i="10"/>
  <c r="K26" i="10"/>
  <c r="L26" i="10"/>
  <c r="M26" i="10"/>
  <c r="K28" i="10"/>
  <c r="L28" i="10"/>
  <c r="M28" i="10"/>
  <c r="K29" i="10"/>
  <c r="L29" i="10"/>
  <c r="M29" i="10"/>
  <c r="K30" i="10"/>
  <c r="L30" i="10"/>
  <c r="M30" i="10"/>
  <c r="K31" i="10"/>
  <c r="L31" i="10"/>
  <c r="M31" i="10"/>
  <c r="K33" i="10"/>
  <c r="L33" i="10"/>
  <c r="M33" i="10"/>
  <c r="K34" i="10"/>
  <c r="L34" i="10"/>
  <c r="M34" i="10"/>
  <c r="K35" i="10"/>
  <c r="L35" i="10"/>
  <c r="M35" i="10"/>
  <c r="K36" i="10"/>
  <c r="L36" i="10"/>
  <c r="M36" i="10"/>
  <c r="D11" i="15"/>
  <c r="D13" i="15" s="1"/>
  <c r="E11" i="15"/>
  <c r="C11" i="15"/>
  <c r="E7" i="15"/>
  <c r="D7" i="15"/>
  <c r="C7" i="15"/>
  <c r="D20" i="8" l="1"/>
  <c r="D23" i="8" s="1"/>
  <c r="D16" i="1" s="1"/>
  <c r="S13" i="1" s="1"/>
  <c r="C20" i="8"/>
  <c r="C23" i="8" s="1"/>
  <c r="C16" i="1" s="1"/>
  <c r="R13" i="1" s="1"/>
  <c r="B22" i="8"/>
  <c r="B23" i="8" s="1"/>
  <c r="B16" i="1" s="1"/>
  <c r="K17" i="10"/>
  <c r="K37" i="10"/>
  <c r="I12" i="15" s="1"/>
  <c r="M37" i="10"/>
  <c r="H33" i="1" s="1"/>
  <c r="M32" i="10"/>
  <c r="G33" i="1" s="1"/>
  <c r="K12" i="10"/>
  <c r="K32" i="10"/>
  <c r="H12" i="15" s="1"/>
  <c r="M27" i="10"/>
  <c r="F33" i="1" s="1"/>
  <c r="M22" i="10"/>
  <c r="E33" i="1" s="1"/>
  <c r="N13" i="10"/>
  <c r="N14" i="10" s="1"/>
  <c r="N15" i="10" s="1"/>
  <c r="N16" i="10" s="1"/>
  <c r="N18" i="10" s="1"/>
  <c r="N19" i="10" s="1"/>
  <c r="N20" i="10" s="1"/>
  <c r="N21" i="10" s="1"/>
  <c r="K22" i="10"/>
  <c r="F12" i="15" s="1"/>
  <c r="M17" i="10"/>
  <c r="K14" i="18"/>
  <c r="K5" i="18"/>
  <c r="K12" i="18" s="1"/>
  <c r="J5" i="18"/>
  <c r="J12" i="18" s="1"/>
  <c r="I5" i="18"/>
  <c r="E19" i="8" l="1"/>
  <c r="I13" i="18"/>
  <c r="I12" i="18"/>
  <c r="L12" i="18" s="1"/>
  <c r="M12" i="18" s="1"/>
  <c r="N12" i="18" s="1"/>
  <c r="O12" i="18" s="1"/>
  <c r="P12" i="18" s="1"/>
  <c r="Q12" i="18" s="1"/>
  <c r="R12" i="18" s="1"/>
  <c r="I14" i="18"/>
  <c r="J13" i="18"/>
  <c r="J14" i="18"/>
  <c r="W18" i="1"/>
  <c r="I7" i="15"/>
  <c r="I11" i="15"/>
  <c r="V18" i="1"/>
  <c r="H7" i="15"/>
  <c r="H11" i="15"/>
  <c r="U18" i="1"/>
  <c r="G7" i="15"/>
  <c r="G11" i="15"/>
  <c r="N23" i="10"/>
  <c r="N24" i="10" s="1"/>
  <c r="N25" i="10" s="1"/>
  <c r="N26" i="10" s="1"/>
  <c r="F7" i="14"/>
  <c r="T18" i="1"/>
  <c r="F11" i="15"/>
  <c r="F7" i="15"/>
  <c r="Q13" i="1"/>
  <c r="K13" i="18"/>
  <c r="E20" i="8" l="1"/>
  <c r="E23" i="8" s="1"/>
  <c r="E16" i="1" s="1"/>
  <c r="L14" i="18"/>
  <c r="M14" i="18" s="1"/>
  <c r="N14" i="18" s="1"/>
  <c r="O14" i="18" s="1"/>
  <c r="P14" i="18" s="1"/>
  <c r="Q14" i="18" s="1"/>
  <c r="R14" i="18" s="1"/>
  <c r="L13" i="18"/>
  <c r="M13" i="18" s="1"/>
  <c r="N13" i="18" s="1"/>
  <c r="O13" i="18" s="1"/>
  <c r="P13" i="18" s="1"/>
  <c r="Q13" i="18" s="1"/>
  <c r="R13" i="18" s="1"/>
  <c r="N28" i="10"/>
  <c r="N29" i="10" s="1"/>
  <c r="N30" i="10" s="1"/>
  <c r="N31" i="10" s="1"/>
  <c r="G7" i="14"/>
  <c r="T13" i="1" l="1"/>
  <c r="F16" i="1"/>
  <c r="G19" i="8"/>
  <c r="F20" i="8"/>
  <c r="F23" i="8" s="1"/>
  <c r="N33" i="10"/>
  <c r="N34" i="10" s="1"/>
  <c r="N35" i="10" s="1"/>
  <c r="N36" i="10" s="1"/>
  <c r="I7" i="14" s="1"/>
  <c r="H7" i="14"/>
  <c r="F31" i="19"/>
  <c r="E31" i="19"/>
  <c r="D31" i="19"/>
  <c r="C31" i="19"/>
  <c r="F14" i="19"/>
  <c r="E14" i="19"/>
  <c r="E33" i="19" s="1"/>
  <c r="E35" i="19" s="1"/>
  <c r="E38" i="19" s="1"/>
  <c r="D14" i="19"/>
  <c r="C14" i="19"/>
  <c r="M12" i="19"/>
  <c r="L12" i="19"/>
  <c r="K12" i="19"/>
  <c r="J12" i="19"/>
  <c r="M7" i="19"/>
  <c r="L7" i="19"/>
  <c r="J7" i="19"/>
  <c r="K7" i="19"/>
  <c r="K3" i="19"/>
  <c r="L3" i="19" s="1"/>
  <c r="M3" i="19" s="1"/>
  <c r="E29" i="18"/>
  <c r="D29" i="18"/>
  <c r="C29" i="18"/>
  <c r="B29" i="18"/>
  <c r="E22" i="18"/>
  <c r="D22" i="18"/>
  <c r="C22" i="18"/>
  <c r="B22" i="18"/>
  <c r="E8" i="18"/>
  <c r="E15" i="18" s="1"/>
  <c r="D8" i="18"/>
  <c r="D15" i="18" s="1"/>
  <c r="C8" i="18"/>
  <c r="C15" i="18" s="1"/>
  <c r="B8" i="18"/>
  <c r="B15" i="18" s="1"/>
  <c r="C3" i="18"/>
  <c r="D3" i="18" s="1"/>
  <c r="E3" i="18" s="1"/>
  <c r="F33" i="19" l="1"/>
  <c r="F35" i="19" s="1"/>
  <c r="F38" i="19" s="1"/>
  <c r="D33" i="19"/>
  <c r="D35" i="19" s="1"/>
  <c r="D38" i="19" s="1"/>
  <c r="C33" i="19"/>
  <c r="C35" i="19" s="1"/>
  <c r="C38" i="19" s="1"/>
  <c r="G16" i="1"/>
  <c r="U13" i="1"/>
  <c r="G20" i="8"/>
  <c r="G23" i="8" s="1"/>
  <c r="D30" i="18"/>
  <c r="E30" i="18"/>
  <c r="B30" i="18"/>
  <c r="L13" i="19"/>
  <c r="L15" i="19" s="1"/>
  <c r="M26" i="19"/>
  <c r="C30" i="18"/>
  <c r="K26" i="19"/>
  <c r="K13" i="19"/>
  <c r="J13" i="19"/>
  <c r="L26" i="19"/>
  <c r="M13" i="19"/>
  <c r="K12" i="16"/>
  <c r="K11" i="16"/>
  <c r="C13" i="16"/>
  <c r="E7" i="16"/>
  <c r="F7" i="16"/>
  <c r="G7" i="16"/>
  <c r="H7" i="16"/>
  <c r="I7" i="16"/>
  <c r="J7" i="16"/>
  <c r="E13" i="15"/>
  <c r="F13" i="15"/>
  <c r="G13" i="15"/>
  <c r="H13" i="15"/>
  <c r="I13" i="15"/>
  <c r="C13" i="15"/>
  <c r="J12" i="15"/>
  <c r="J11" i="15"/>
  <c r="J7" i="15"/>
  <c r="B14" i="14"/>
  <c r="B33" i="13"/>
  <c r="B14" i="13"/>
  <c r="B36" i="13" l="1"/>
  <c r="B38" i="13" s="1"/>
  <c r="C37" i="13" s="1"/>
  <c r="B22" i="14"/>
  <c r="L23" i="19"/>
  <c r="H20" i="8"/>
  <c r="H23" i="8" s="1"/>
  <c r="V13" i="1"/>
  <c r="H16" i="1"/>
  <c r="W13" i="1" s="1"/>
  <c r="J13" i="15"/>
  <c r="J15" i="19"/>
  <c r="J23" i="19"/>
  <c r="K23" i="19"/>
  <c r="K15" i="19"/>
  <c r="M15" i="19"/>
  <c r="M23" i="19"/>
  <c r="L24" i="19"/>
  <c r="L18" i="19"/>
  <c r="L21" i="19" s="1"/>
  <c r="L25" i="19" s="1"/>
  <c r="C11" i="11"/>
  <c r="B11" i="11"/>
  <c r="D10" i="11"/>
  <c r="B28" i="11" s="1"/>
  <c r="D28" i="11" s="1"/>
  <c r="D9" i="11"/>
  <c r="B27" i="11" s="1"/>
  <c r="D8" i="11"/>
  <c r="B26" i="11" s="1"/>
  <c r="D7" i="11"/>
  <c r="B16" i="11" s="1"/>
  <c r="F61" i="10"/>
  <c r="D61" i="10"/>
  <c r="F54" i="10"/>
  <c r="D54" i="10"/>
  <c r="F47" i="10"/>
  <c r="D47" i="10"/>
  <c r="F40" i="10"/>
  <c r="D40" i="10"/>
  <c r="F34" i="10"/>
  <c r="D34" i="10"/>
  <c r="B19" i="11" l="1"/>
  <c r="D19" i="11" s="1"/>
  <c r="B18" i="11"/>
  <c r="D18" i="11" s="1"/>
  <c r="D27" i="11"/>
  <c r="E27" i="11"/>
  <c r="F27" i="11" s="1"/>
  <c r="G27" i="11" s="1"/>
  <c r="H27" i="11" s="1"/>
  <c r="I27" i="11" s="1"/>
  <c r="J27" i="11" s="1"/>
  <c r="D26" i="11"/>
  <c r="B25" i="11"/>
  <c r="B29" i="11" s="1"/>
  <c r="D11" i="11"/>
  <c r="B18" i="14" s="1"/>
  <c r="B17" i="11"/>
  <c r="D17" i="11" s="1"/>
  <c r="D20" i="11" s="1"/>
  <c r="E28" i="11"/>
  <c r="F28" i="11" s="1"/>
  <c r="G28" i="11" s="1"/>
  <c r="H28" i="11" s="1"/>
  <c r="I28" i="11" s="1"/>
  <c r="J28" i="11" s="1"/>
  <c r="K24" i="19"/>
  <c r="K18" i="19"/>
  <c r="K21" i="19" s="1"/>
  <c r="K25" i="19" s="1"/>
  <c r="M18" i="19"/>
  <c r="M21" i="19" s="1"/>
  <c r="M25" i="19" s="1"/>
  <c r="M24" i="19"/>
  <c r="J24" i="19"/>
  <c r="J18" i="19"/>
  <c r="J21" i="19" s="1"/>
  <c r="J25" i="19" s="1"/>
  <c r="F28" i="10"/>
  <c r="D28" i="10"/>
  <c r="F21" i="10"/>
  <c r="D21" i="10"/>
  <c r="B6" i="12" l="1"/>
  <c r="E26" i="11"/>
  <c r="E29" i="11" s="1"/>
  <c r="C6" i="12" s="1"/>
  <c r="F5" i="12"/>
  <c r="D5" i="12"/>
  <c r="B5" i="12"/>
  <c r="C5" i="12"/>
  <c r="G5" i="12"/>
  <c r="H5" i="12"/>
  <c r="E5" i="12"/>
  <c r="C18" i="14"/>
  <c r="B20" i="14"/>
  <c r="B29" i="14" s="1"/>
  <c r="B31" i="14" s="1"/>
  <c r="B20" i="11"/>
  <c r="E3" i="10"/>
  <c r="F13" i="10"/>
  <c r="D13" i="10"/>
  <c r="C15" i="9"/>
  <c r="C31" i="8"/>
  <c r="D31" i="8"/>
  <c r="E31" i="8"/>
  <c r="B31" i="8"/>
  <c r="D9" i="7"/>
  <c r="C49" i="6"/>
  <c r="C50" i="6" s="1"/>
  <c r="D49" i="6"/>
  <c r="D50" i="6" s="1"/>
  <c r="E49" i="6"/>
  <c r="E50" i="6" s="1"/>
  <c r="B49" i="6"/>
  <c r="B50" i="6" s="1"/>
  <c r="D10" i="4"/>
  <c r="B10" i="4"/>
  <c r="C42" i="3"/>
  <c r="C45" i="3" s="1"/>
  <c r="F26" i="3"/>
  <c r="G26" i="3"/>
  <c r="E26" i="3"/>
  <c r="C44" i="2"/>
  <c r="D44" i="2"/>
  <c r="B44" i="2"/>
  <c r="B30" i="2"/>
  <c r="B36" i="2" s="1"/>
  <c r="B21" i="2"/>
  <c r="D12" i="2"/>
  <c r="D6" i="16" s="1"/>
  <c r="D11" i="2"/>
  <c r="D10" i="2"/>
  <c r="D9" i="2"/>
  <c r="D5" i="2"/>
  <c r="D7" i="2"/>
  <c r="D8" i="2"/>
  <c r="D4" i="2"/>
  <c r="H6" i="2"/>
  <c r="H14" i="2" s="1"/>
  <c r="C6" i="2"/>
  <c r="C14" i="2" s="1"/>
  <c r="E6" i="2"/>
  <c r="E14" i="2" s="1"/>
  <c r="F6" i="2"/>
  <c r="F14" i="2" s="1"/>
  <c r="B6" i="2"/>
  <c r="D6" i="2" s="1"/>
  <c r="C5" i="16" s="1"/>
  <c r="C40" i="1"/>
  <c r="D40" i="1"/>
  <c r="E40" i="1"/>
  <c r="F40" i="1"/>
  <c r="G40" i="1"/>
  <c r="H40" i="1"/>
  <c r="B40" i="1"/>
  <c r="F9" i="7" l="1"/>
  <c r="B11" i="7"/>
  <c r="B17" i="7" s="1"/>
  <c r="D7" i="16"/>
  <c r="K6" i="16"/>
  <c r="C7" i="16"/>
  <c r="C14" i="16" s="1"/>
  <c r="C18" i="16" s="1"/>
  <c r="C26" i="16" s="1"/>
  <c r="K5" i="16"/>
  <c r="K7" i="16" s="1"/>
  <c r="D14" i="2"/>
  <c r="B14" i="2"/>
  <c r="F26" i="11"/>
  <c r="G26" i="11" s="1"/>
  <c r="G29" i="11" s="1"/>
  <c r="E6" i="12" s="1"/>
  <c r="D18" i="14"/>
  <c r="C20" i="14"/>
  <c r="B39" i="1"/>
  <c r="C25" i="22" s="1"/>
  <c r="C27" i="22" s="1"/>
  <c r="F29" i="11"/>
  <c r="D6" i="12" s="1"/>
  <c r="Q10" i="1"/>
  <c r="F17" i="7"/>
  <c r="F19" i="7" s="1"/>
  <c r="G4" i="5" s="1"/>
  <c r="G12" i="5" s="1"/>
  <c r="H17" i="7"/>
  <c r="H19" i="7" s="1"/>
  <c r="I4" i="5" s="1"/>
  <c r="I12" i="5" s="1"/>
  <c r="C51" i="6"/>
  <c r="C7" i="1"/>
  <c r="B51" i="6"/>
  <c r="C8" i="5" s="1"/>
  <c r="C26" i="14" s="1"/>
  <c r="C29" i="13" s="1"/>
  <c r="B7" i="1"/>
  <c r="D51" i="6"/>
  <c r="D7" i="1"/>
  <c r="E51" i="6"/>
  <c r="E7" i="1"/>
  <c r="E9" i="1" s="1"/>
  <c r="E17" i="7"/>
  <c r="C36" i="22" l="1"/>
  <c r="C32" i="22"/>
  <c r="C37" i="22"/>
  <c r="C33" i="22"/>
  <c r="C17" i="7"/>
  <c r="C19" i="7" s="1"/>
  <c r="D4" i="5" s="1"/>
  <c r="D17" i="7"/>
  <c r="D13" i="1" s="1"/>
  <c r="S9" i="1" s="1"/>
  <c r="G17" i="7"/>
  <c r="G19" i="7" s="1"/>
  <c r="H4" i="5" s="1"/>
  <c r="H12" i="5" s="1"/>
  <c r="I13" i="13" s="1"/>
  <c r="I13" i="14"/>
  <c r="G13" i="14"/>
  <c r="F8" i="5"/>
  <c r="F26" i="14" s="1"/>
  <c r="E8" i="5"/>
  <c r="E26" i="14" s="1"/>
  <c r="D8" i="5"/>
  <c r="D26" i="14" s="1"/>
  <c r="D29" i="13" s="1"/>
  <c r="E10" i="1"/>
  <c r="T6" i="1" s="1"/>
  <c r="B19" i="7"/>
  <c r="C4" i="5" s="1"/>
  <c r="B13" i="1"/>
  <c r="B21" i="1" s="1"/>
  <c r="B27" i="1" s="1"/>
  <c r="E13" i="1"/>
  <c r="T9" i="1" s="1"/>
  <c r="E19" i="7"/>
  <c r="F4" i="5" s="1"/>
  <c r="H26" i="11"/>
  <c r="H29" i="11" s="1"/>
  <c r="F6" i="12" s="1"/>
  <c r="I26" i="11"/>
  <c r="I29" i="11" s="1"/>
  <c r="G6" i="12" s="1"/>
  <c r="R16" i="1"/>
  <c r="C39" i="1"/>
  <c r="E18" i="14"/>
  <c r="R10" i="1"/>
  <c r="D17" i="1"/>
  <c r="B9" i="1"/>
  <c r="B10" i="1" s="1"/>
  <c r="Q6" i="1" s="1"/>
  <c r="C9" i="1"/>
  <c r="C10" i="1" s="1"/>
  <c r="R6" i="1" s="1"/>
  <c r="D9" i="1"/>
  <c r="D10" i="1" s="1"/>
  <c r="S6" i="1" s="1"/>
  <c r="T5" i="1"/>
  <c r="O5" i="18"/>
  <c r="O8" i="18" s="1"/>
  <c r="D25" i="22" l="1"/>
  <c r="D27" i="22" s="1"/>
  <c r="D33" i="22" s="1"/>
  <c r="D19" i="14"/>
  <c r="D37" i="22"/>
  <c r="C13" i="1"/>
  <c r="R9" i="1" s="1"/>
  <c r="R14" i="1" s="1"/>
  <c r="D19" i="7"/>
  <c r="E4" i="5" s="1"/>
  <c r="E12" i="5" s="1"/>
  <c r="H13" i="14"/>
  <c r="H13" i="13"/>
  <c r="C21" i="1"/>
  <c r="C27" i="1" s="1"/>
  <c r="F13" i="1"/>
  <c r="P6" i="18" s="1"/>
  <c r="F29" i="13"/>
  <c r="E29" i="13"/>
  <c r="N6" i="18"/>
  <c r="N9" i="18" s="1"/>
  <c r="O6" i="18"/>
  <c r="O10" i="18" s="1"/>
  <c r="T7" i="1"/>
  <c r="L6" i="18"/>
  <c r="L9" i="18" s="1"/>
  <c r="Q9" i="1"/>
  <c r="Q14" i="1" s="1"/>
  <c r="E11" i="1"/>
  <c r="F12" i="5"/>
  <c r="F10" i="5"/>
  <c r="D12" i="5"/>
  <c r="D13" i="14" s="1"/>
  <c r="D10" i="5"/>
  <c r="C12" i="5"/>
  <c r="C10" i="5"/>
  <c r="I20" i="13"/>
  <c r="H20" i="13"/>
  <c r="D21" i="1"/>
  <c r="D27" i="1" s="1"/>
  <c r="J26" i="11"/>
  <c r="J29" i="11" s="1"/>
  <c r="H6" i="12" s="1"/>
  <c r="S16" i="1"/>
  <c r="D39" i="1"/>
  <c r="E25" i="22" s="1"/>
  <c r="E27" i="22" s="1"/>
  <c r="F18" i="14"/>
  <c r="E17" i="1"/>
  <c r="S10" i="1"/>
  <c r="S14" i="1" s="1"/>
  <c r="M5" i="18"/>
  <c r="M8" i="18" s="1"/>
  <c r="C11" i="1"/>
  <c r="R5" i="1"/>
  <c r="R7" i="1" s="1"/>
  <c r="B11" i="1"/>
  <c r="B29" i="1" s="1"/>
  <c r="B36" i="1" s="1"/>
  <c r="Q5" i="1"/>
  <c r="Q7" i="1" s="1"/>
  <c r="L5" i="18"/>
  <c r="L8" i="18" s="1"/>
  <c r="N5" i="18"/>
  <c r="N8" i="18" s="1"/>
  <c r="S5" i="1"/>
  <c r="S7" i="1" s="1"/>
  <c r="D11" i="1"/>
  <c r="D36" i="22" l="1"/>
  <c r="D32" i="22"/>
  <c r="E19" i="14"/>
  <c r="D20" i="14"/>
  <c r="E33" i="22"/>
  <c r="E36" i="22"/>
  <c r="E37" i="22"/>
  <c r="E32" i="22"/>
  <c r="M6" i="18"/>
  <c r="M10" i="18" s="1"/>
  <c r="E10" i="5"/>
  <c r="E21" i="14" s="1"/>
  <c r="U9" i="1"/>
  <c r="C29" i="1"/>
  <c r="C36" i="1" s="1"/>
  <c r="C4" i="12" s="1"/>
  <c r="C7" i="12" s="1"/>
  <c r="C9" i="12" s="1"/>
  <c r="C12" i="12" s="1"/>
  <c r="G13" i="1"/>
  <c r="V9" i="1" s="1"/>
  <c r="N10" i="18"/>
  <c r="Q15" i="1"/>
  <c r="D10" i="16" s="1"/>
  <c r="D13" i="16" s="1"/>
  <c r="D14" i="16" s="1"/>
  <c r="D18" i="16" s="1"/>
  <c r="O9" i="18"/>
  <c r="F13" i="13"/>
  <c r="F13" i="14"/>
  <c r="G13" i="13"/>
  <c r="E13" i="14"/>
  <c r="E13" i="13"/>
  <c r="L10" i="18"/>
  <c r="C13" i="14"/>
  <c r="D13" i="13"/>
  <c r="B4" i="12"/>
  <c r="B7" i="12" s="1"/>
  <c r="B9" i="12" s="1"/>
  <c r="B12" i="12" s="1"/>
  <c r="C5" i="13"/>
  <c r="F14" i="5"/>
  <c r="F21" i="14"/>
  <c r="C13" i="13"/>
  <c r="D14" i="5"/>
  <c r="D21" i="14"/>
  <c r="E14" i="5"/>
  <c r="C14" i="5"/>
  <c r="C21" i="14"/>
  <c r="C20" i="13" s="1"/>
  <c r="D29" i="1"/>
  <c r="D36" i="1" s="1"/>
  <c r="R28" i="1"/>
  <c r="T16" i="1"/>
  <c r="E39" i="1"/>
  <c r="F25" i="22" s="1"/>
  <c r="F27" i="22" s="1"/>
  <c r="G18" i="14"/>
  <c r="T10" i="1"/>
  <c r="T14" i="1" s="1"/>
  <c r="T15" i="1" s="1"/>
  <c r="T25" i="1" s="1"/>
  <c r="F17" i="1"/>
  <c r="E21" i="1"/>
  <c r="E27" i="1" s="1"/>
  <c r="E29" i="1" s="1"/>
  <c r="E36" i="1" s="1"/>
  <c r="S28" i="1"/>
  <c r="B15" i="12"/>
  <c r="B37" i="1" s="1"/>
  <c r="R15" i="1"/>
  <c r="S15" i="1"/>
  <c r="T28" i="1"/>
  <c r="P9" i="18"/>
  <c r="P10" i="18"/>
  <c r="F19" i="14" l="1"/>
  <c r="E20" i="14"/>
  <c r="F32" i="22"/>
  <c r="F36" i="22"/>
  <c r="F33" i="22"/>
  <c r="F37" i="22"/>
  <c r="M9" i="18"/>
  <c r="H13" i="1"/>
  <c r="W9" i="1" s="1"/>
  <c r="Q6" i="18"/>
  <c r="Q10" i="18" s="1"/>
  <c r="D5" i="13"/>
  <c r="Q25" i="1"/>
  <c r="D23" i="16"/>
  <c r="D26" i="16" s="1"/>
  <c r="Q17" i="1"/>
  <c r="Q20" i="1" s="1"/>
  <c r="D14" i="13"/>
  <c r="C10" i="12"/>
  <c r="D24" i="14" s="1"/>
  <c r="D24" i="13" s="1"/>
  <c r="C14" i="13"/>
  <c r="E4" i="12"/>
  <c r="E7" i="12" s="1"/>
  <c r="E9" i="12" s="1"/>
  <c r="E12" i="12" s="1"/>
  <c r="F5" i="13"/>
  <c r="F14" i="13" s="1"/>
  <c r="D4" i="12"/>
  <c r="D7" i="12" s="1"/>
  <c r="D9" i="12" s="1"/>
  <c r="D12" i="12" s="1"/>
  <c r="E5" i="13"/>
  <c r="E14" i="13" s="1"/>
  <c r="D20" i="13"/>
  <c r="G20" i="13"/>
  <c r="F20" i="13"/>
  <c r="E20" i="13"/>
  <c r="C10" i="14"/>
  <c r="T17" i="1"/>
  <c r="T20" i="1" s="1"/>
  <c r="H18" i="14"/>
  <c r="U16" i="1"/>
  <c r="F39" i="1"/>
  <c r="G25" i="22" s="1"/>
  <c r="G27" i="22" s="1"/>
  <c r="G10" i="16"/>
  <c r="G13" i="16" s="1"/>
  <c r="G14" i="16" s="1"/>
  <c r="G18" i="16" s="1"/>
  <c r="G23" i="16" s="1"/>
  <c r="G26" i="16" s="1"/>
  <c r="C24" i="14"/>
  <c r="C24" i="13" s="1"/>
  <c r="C33" i="13" s="1"/>
  <c r="G17" i="1"/>
  <c r="U10" i="1"/>
  <c r="U14" i="1" s="1"/>
  <c r="F21" i="1"/>
  <c r="F27" i="1" s="1"/>
  <c r="R25" i="1"/>
  <c r="E10" i="16"/>
  <c r="E13" i="16" s="1"/>
  <c r="E14" i="16" s="1"/>
  <c r="E18" i="16" s="1"/>
  <c r="R17" i="1"/>
  <c r="F10" i="16"/>
  <c r="F13" i="16" s="1"/>
  <c r="F14" i="16" s="1"/>
  <c r="F18" i="16" s="1"/>
  <c r="S17" i="1"/>
  <c r="S25" i="1"/>
  <c r="R6" i="18"/>
  <c r="Q9" i="18"/>
  <c r="B38" i="1"/>
  <c r="Q22" i="1"/>
  <c r="G19" i="14" l="1"/>
  <c r="F20" i="14"/>
  <c r="G36" i="22"/>
  <c r="G32" i="22"/>
  <c r="G33" i="22"/>
  <c r="G37" i="22"/>
  <c r="Q23" i="1"/>
  <c r="Q27" i="1" s="1"/>
  <c r="Q26" i="1"/>
  <c r="E10" i="12"/>
  <c r="F24" i="14" s="1"/>
  <c r="F24" i="13" s="1"/>
  <c r="D10" i="14"/>
  <c r="T26" i="1"/>
  <c r="D33" i="13"/>
  <c r="D36" i="13" s="1"/>
  <c r="C36" i="13"/>
  <c r="C38" i="13" s="1"/>
  <c r="D37" i="13" s="1"/>
  <c r="C15" i="12"/>
  <c r="C37" i="1" s="1"/>
  <c r="C38" i="1" s="1"/>
  <c r="C41" i="1" s="1"/>
  <c r="D6" i="15" s="1"/>
  <c r="D8" i="15" s="1"/>
  <c r="D15" i="15" s="1"/>
  <c r="D10" i="12"/>
  <c r="B41" i="1"/>
  <c r="C6" i="15" s="1"/>
  <c r="C8" i="15" s="1"/>
  <c r="C6" i="14"/>
  <c r="V16" i="1"/>
  <c r="G39" i="1"/>
  <c r="H25" i="22" s="1"/>
  <c r="H27" i="22" s="1"/>
  <c r="I18" i="14"/>
  <c r="V10" i="1"/>
  <c r="V14" i="1" s="1"/>
  <c r="H17" i="1"/>
  <c r="G21" i="1"/>
  <c r="G27" i="1" s="1"/>
  <c r="R26" i="1"/>
  <c r="R20" i="1"/>
  <c r="S20" i="1"/>
  <c r="S26" i="1"/>
  <c r="F23" i="16"/>
  <c r="F26" i="16" s="1"/>
  <c r="R9" i="18"/>
  <c r="R10" i="18"/>
  <c r="E23" i="16"/>
  <c r="E26" i="16" s="1"/>
  <c r="H19" i="14" l="1"/>
  <c r="G20" i="14"/>
  <c r="H33" i="22"/>
  <c r="H37" i="22"/>
  <c r="H32" i="22"/>
  <c r="H36" i="22"/>
  <c r="E15" i="12"/>
  <c r="E37" i="1" s="1"/>
  <c r="T22" i="1" s="1"/>
  <c r="T23" i="1" s="1"/>
  <c r="T27" i="1" s="1"/>
  <c r="F10" i="14"/>
  <c r="D38" i="13"/>
  <c r="E37" i="13" s="1"/>
  <c r="D6" i="14"/>
  <c r="C22" i="14"/>
  <c r="R22" i="1"/>
  <c r="R23" i="1" s="1"/>
  <c r="R27" i="1" s="1"/>
  <c r="D15" i="12"/>
  <c r="D37" i="1" s="1"/>
  <c r="E10" i="14"/>
  <c r="E24" i="14"/>
  <c r="E24" i="13" s="1"/>
  <c r="W16" i="1"/>
  <c r="H39" i="1"/>
  <c r="I25" i="22" s="1"/>
  <c r="I27" i="22" s="1"/>
  <c r="W10" i="1"/>
  <c r="W14" i="1" s="1"/>
  <c r="H21" i="1"/>
  <c r="H27" i="1" s="1"/>
  <c r="I19" i="14" l="1"/>
  <c r="I20" i="14" s="1"/>
  <c r="H20" i="14"/>
  <c r="I36" i="22"/>
  <c r="I37" i="22"/>
  <c r="I33" i="22"/>
  <c r="I32" i="22"/>
  <c r="E38" i="1"/>
  <c r="E41" i="1" s="1"/>
  <c r="F6" i="15" s="1"/>
  <c r="F8" i="15" s="1"/>
  <c r="F15" i="15" s="1"/>
  <c r="D22" i="14"/>
  <c r="D38" i="1"/>
  <c r="S22" i="1"/>
  <c r="S23" i="1" s="1"/>
  <c r="S27" i="1" s="1"/>
  <c r="D41" i="1" l="1"/>
  <c r="E6" i="15" s="1"/>
  <c r="E8" i="15" s="1"/>
  <c r="E15" i="15" s="1"/>
  <c r="E6" i="14"/>
  <c r="F6" i="14" s="1"/>
  <c r="G60" i="6" l="1"/>
  <c r="H60" i="6"/>
  <c r="F60" i="6"/>
  <c r="H14" i="5"/>
  <c r="I14" i="5"/>
  <c r="G14" i="5"/>
  <c r="U6" i="1" l="1"/>
  <c r="V6" i="1"/>
  <c r="W6" i="1"/>
  <c r="F14" i="14" l="1"/>
  <c r="C14" i="14"/>
  <c r="D14" i="14"/>
  <c r="E14" i="14"/>
  <c r="E33" i="13"/>
  <c r="E36" i="13" s="1"/>
  <c r="E38" i="13" s="1"/>
  <c r="F37" i="13" s="1"/>
  <c r="F33" i="13"/>
  <c r="F36" i="13" s="1"/>
  <c r="F38" i="13" l="1"/>
  <c r="G37" i="13" s="1"/>
  <c r="E22" i="14"/>
  <c r="E29" i="14" s="1"/>
  <c r="E31" i="14" s="1"/>
  <c r="C29" i="14"/>
  <c r="C31" i="14" s="1"/>
  <c r="D29" i="14"/>
  <c r="D31" i="14" s="1"/>
  <c r="F22" i="14" l="1"/>
  <c r="F29" i="14" s="1"/>
  <c r="F31" i="14" s="1"/>
  <c r="G6" i="14" l="1"/>
  <c r="H6" i="14"/>
  <c r="I6" i="14"/>
  <c r="G10" i="14"/>
  <c r="H10" i="14"/>
  <c r="I10" i="14"/>
  <c r="G14" i="14"/>
  <c r="H14" i="14"/>
  <c r="I14" i="14"/>
  <c r="G22" i="14"/>
  <c r="H22" i="14"/>
  <c r="I22" i="14"/>
  <c r="G24" i="14"/>
  <c r="H24" i="14"/>
  <c r="I24" i="14"/>
  <c r="G26" i="14"/>
  <c r="H26" i="14"/>
  <c r="I26" i="14"/>
  <c r="G29" i="14"/>
  <c r="H29" i="14"/>
  <c r="I29" i="14"/>
  <c r="G31" i="14"/>
  <c r="H31" i="14"/>
  <c r="I31" i="14"/>
  <c r="P5" i="18"/>
  <c r="Q5" i="18"/>
  <c r="R5" i="18"/>
  <c r="P8" i="18"/>
  <c r="Q8" i="18"/>
  <c r="R8" i="18"/>
  <c r="G5" i="13"/>
  <c r="H5" i="13"/>
  <c r="I5" i="13"/>
  <c r="G14" i="13"/>
  <c r="H14" i="13"/>
  <c r="I14" i="13"/>
  <c r="G24" i="13"/>
  <c r="H24" i="13"/>
  <c r="I24" i="13"/>
  <c r="G29" i="13"/>
  <c r="H29" i="13"/>
  <c r="I29" i="13"/>
  <c r="G33" i="13"/>
  <c r="H33" i="13"/>
  <c r="I33" i="13"/>
  <c r="G36" i="13"/>
  <c r="H36" i="13"/>
  <c r="I36" i="13"/>
  <c r="H37" i="13"/>
  <c r="I37" i="13"/>
  <c r="G38" i="13"/>
  <c r="H38" i="13"/>
  <c r="I38" i="13"/>
  <c r="G6" i="15"/>
  <c r="H6" i="15"/>
  <c r="I6" i="15"/>
  <c r="J6" i="15"/>
  <c r="G8" i="15"/>
  <c r="H8" i="15"/>
  <c r="I8" i="15"/>
  <c r="J8" i="15"/>
  <c r="G15" i="15"/>
  <c r="H15" i="15"/>
  <c r="I15" i="15"/>
  <c r="C17" i="15"/>
  <c r="D17" i="15"/>
  <c r="D18" i="15"/>
  <c r="H10" i="16"/>
  <c r="I10" i="16"/>
  <c r="J10" i="16"/>
  <c r="K10" i="16"/>
  <c r="H13" i="16"/>
  <c r="I13" i="16"/>
  <c r="J13" i="16"/>
  <c r="K13" i="16"/>
  <c r="H14" i="16"/>
  <c r="I14" i="16"/>
  <c r="J14" i="16"/>
  <c r="K14" i="16"/>
  <c r="D16" i="16"/>
  <c r="H18" i="16"/>
  <c r="I18" i="16"/>
  <c r="J18" i="16"/>
  <c r="H23" i="16"/>
  <c r="I23" i="16"/>
  <c r="J23" i="16"/>
  <c r="J24" i="16"/>
  <c r="J25" i="16"/>
  <c r="H26" i="16"/>
  <c r="I26" i="16"/>
  <c r="J26" i="16"/>
  <c r="C27" i="16"/>
  <c r="C28" i="16"/>
  <c r="C31" i="16"/>
  <c r="U5" i="1"/>
  <c r="V5" i="1"/>
  <c r="W5" i="1"/>
  <c r="F7" i="1"/>
  <c r="G7" i="1"/>
  <c r="H7" i="1"/>
  <c r="U7" i="1"/>
  <c r="V7" i="1"/>
  <c r="W7" i="1"/>
  <c r="F9" i="1"/>
  <c r="G9" i="1"/>
  <c r="H9" i="1"/>
  <c r="F11" i="1"/>
  <c r="G11" i="1"/>
  <c r="H11" i="1"/>
  <c r="U15" i="1"/>
  <c r="V15" i="1"/>
  <c r="W15" i="1"/>
  <c r="U17" i="1"/>
  <c r="V17" i="1"/>
  <c r="W17" i="1"/>
  <c r="U20" i="1"/>
  <c r="V20" i="1"/>
  <c r="W20" i="1"/>
  <c r="U22" i="1"/>
  <c r="V22" i="1"/>
  <c r="W22" i="1"/>
  <c r="U23" i="1"/>
  <c r="V23" i="1"/>
  <c r="W23" i="1"/>
  <c r="U25" i="1"/>
  <c r="V25" i="1"/>
  <c r="W25" i="1"/>
  <c r="U26" i="1"/>
  <c r="V26" i="1"/>
  <c r="W26" i="1"/>
  <c r="U27" i="1"/>
  <c r="V27" i="1"/>
  <c r="W27" i="1"/>
  <c r="U28" i="1"/>
  <c r="V28" i="1"/>
  <c r="W28" i="1"/>
  <c r="F29" i="1"/>
  <c r="G29" i="1"/>
  <c r="H29" i="1"/>
  <c r="Q29" i="1"/>
  <c r="Q30" i="1"/>
  <c r="Q31" i="1"/>
  <c r="F36" i="1"/>
  <c r="G36" i="1"/>
  <c r="H36" i="1"/>
  <c r="F37" i="1"/>
  <c r="G37" i="1"/>
  <c r="H37" i="1"/>
  <c r="F38" i="1"/>
  <c r="G38" i="1"/>
  <c r="H38" i="1"/>
  <c r="F41" i="1"/>
  <c r="G41" i="1"/>
  <c r="H41" i="1"/>
  <c r="F46" i="6"/>
  <c r="G46" i="6"/>
  <c r="H46" i="6"/>
  <c r="F47" i="6"/>
  <c r="G47" i="6"/>
  <c r="H47" i="6"/>
  <c r="F49" i="6"/>
  <c r="G49" i="6"/>
  <c r="H49" i="6"/>
  <c r="F50" i="6"/>
  <c r="G50" i="6"/>
  <c r="H50" i="6"/>
  <c r="F51" i="6"/>
  <c r="G51" i="6"/>
  <c r="H51" i="6"/>
  <c r="F58" i="6"/>
  <c r="G58" i="6"/>
  <c r="H58" i="6"/>
  <c r="F59" i="6"/>
  <c r="G59" i="6"/>
  <c r="H59" i="6"/>
  <c r="F4" i="12"/>
  <c r="G4" i="12"/>
  <c r="H4" i="12"/>
  <c r="F7" i="12"/>
  <c r="G7" i="12"/>
  <c r="H7" i="12"/>
  <c r="F9" i="12"/>
  <c r="G9" i="12"/>
  <c r="H9" i="12"/>
  <c r="F10" i="12"/>
  <c r="G10" i="12"/>
  <c r="H10" i="12"/>
  <c r="F12" i="12"/>
  <c r="G12" i="12"/>
  <c r="H12" i="12"/>
  <c r="F15" i="12"/>
  <c r="G15" i="12"/>
  <c r="H15" i="12"/>
  <c r="G8" i="5"/>
  <c r="H8" i="5"/>
  <c r="I8" i="5"/>
</calcChain>
</file>

<file path=xl/comments1.xml><?xml version="1.0" encoding="utf-8"?>
<comments xmlns="http://schemas.openxmlformats.org/spreadsheetml/2006/main">
  <authors>
    <author>hp</author>
  </authors>
  <commentList>
    <comment ref="C16" authorId="0" shapeId="0">
      <text>
        <r>
          <rPr>
            <b/>
            <sz val="9"/>
            <color indexed="81"/>
            <rFont val="Tahoma"/>
            <family val="2"/>
          </rPr>
          <t>hp:</t>
        </r>
        <r>
          <rPr>
            <sz val="9"/>
            <color indexed="81"/>
            <rFont val="Tahoma"/>
            <family val="2"/>
          </rPr>
          <t xml:space="preserve">
Given by company.
</t>
        </r>
      </text>
    </comment>
  </commentList>
</comments>
</file>

<file path=xl/sharedStrings.xml><?xml version="1.0" encoding="utf-8"?>
<sst xmlns="http://schemas.openxmlformats.org/spreadsheetml/2006/main" count="1045" uniqueCount="574">
  <si>
    <t>Plasto Packaging Private Limited</t>
  </si>
  <si>
    <t>2022-23</t>
  </si>
  <si>
    <t>2023-24</t>
  </si>
  <si>
    <t>2024-25</t>
  </si>
  <si>
    <t>2025-26</t>
  </si>
  <si>
    <t>2026-27</t>
  </si>
  <si>
    <t>2027-28</t>
  </si>
  <si>
    <t>2028-29</t>
  </si>
  <si>
    <t>INCOME</t>
  </si>
  <si>
    <t>Gross Sales</t>
  </si>
  <si>
    <t>Less: Excise Duty</t>
  </si>
  <si>
    <t>Net Sales</t>
  </si>
  <si>
    <t>Other Income</t>
  </si>
  <si>
    <t>TOTAL INCOME</t>
  </si>
  <si>
    <t>I</t>
  </si>
  <si>
    <t>II</t>
  </si>
  <si>
    <t>III</t>
  </si>
  <si>
    <t>IV</t>
  </si>
  <si>
    <t>V</t>
  </si>
  <si>
    <t>VI</t>
  </si>
  <si>
    <t>VII</t>
  </si>
  <si>
    <t>Capacity Utilization (%)</t>
  </si>
  <si>
    <t>COST OF PRODUCTION</t>
  </si>
  <si>
    <t>Raw Material</t>
  </si>
  <si>
    <t>Consumable Stores</t>
  </si>
  <si>
    <t>Insurance &amp; Others</t>
  </si>
  <si>
    <t>Power and Fuel</t>
  </si>
  <si>
    <t>Salary and Wages</t>
  </si>
  <si>
    <t>Repaires and Maintaince</t>
  </si>
  <si>
    <t>Other Manufacturing Cost</t>
  </si>
  <si>
    <t>Depreciation</t>
  </si>
  <si>
    <t>TOTAL COST OF PRODUCTION</t>
  </si>
  <si>
    <t>Add: Opening Stock of WIP</t>
  </si>
  <si>
    <t>Less: Closing Stock of finished goods</t>
  </si>
  <si>
    <t>Less: Closing Stock of WIP</t>
  </si>
  <si>
    <t>Add: Opening Stock of finished goods</t>
  </si>
  <si>
    <t>Cost of Sales</t>
  </si>
  <si>
    <t>Gross Profit</t>
  </si>
  <si>
    <t>Administrative Expenses (Lump sum Basis)</t>
  </si>
  <si>
    <t>Selling Expenses (Lump sum Basis)</t>
  </si>
  <si>
    <t>Interest on Term Loan</t>
  </si>
  <si>
    <t>Interest on Cash Credit</t>
  </si>
  <si>
    <t>Profit Befor Tax</t>
  </si>
  <si>
    <t>Pre-Operative Exp.</t>
  </si>
  <si>
    <t>Income Tax</t>
  </si>
  <si>
    <t>Profit after Tax</t>
  </si>
  <si>
    <t>Add: Depreciation</t>
  </si>
  <si>
    <t>Add: Pre-Operative Exp.</t>
  </si>
  <si>
    <t>Net Cash Accrual</t>
  </si>
  <si>
    <t>Project Cost</t>
  </si>
  <si>
    <t>Particulars</t>
  </si>
  <si>
    <t>Exisiting</t>
  </si>
  <si>
    <t>Proposed Addition</t>
  </si>
  <si>
    <t>Total Cost</t>
  </si>
  <si>
    <t>Equity</t>
  </si>
  <si>
    <t>Debt</t>
  </si>
  <si>
    <t>Margin</t>
  </si>
  <si>
    <t>Bank Finance</t>
  </si>
  <si>
    <t>Freehold Land</t>
  </si>
  <si>
    <t>Land Development</t>
  </si>
  <si>
    <t>Freehold Land &amp; Land Development</t>
  </si>
  <si>
    <t>Civil Construction</t>
  </si>
  <si>
    <t>Plant And Machinery</t>
  </si>
  <si>
    <t>Miscellaneous Fixed Assets</t>
  </si>
  <si>
    <t>Preliminary &amp; Pre-Operative Expenses</t>
  </si>
  <si>
    <t>Contingencies</t>
  </si>
  <si>
    <t>Margin Moner For Working Capital</t>
  </si>
  <si>
    <t>MEANS OF FINANCE</t>
  </si>
  <si>
    <t>Promoters Contribution</t>
  </si>
  <si>
    <t>Unsecured Loan (Interest Free)</t>
  </si>
  <si>
    <t>Term Loan</t>
  </si>
  <si>
    <t xml:space="preserve">Total </t>
  </si>
  <si>
    <t>Debt Equity Ratio (Considering Unsecured Loan)</t>
  </si>
  <si>
    <t>DSCR</t>
  </si>
  <si>
    <t>Promoter Contribution to Project</t>
  </si>
  <si>
    <t>Limit Applied For 
Fund Based Limit</t>
  </si>
  <si>
    <t>Amount
Rs. In Lakhs</t>
  </si>
  <si>
    <t xml:space="preserve">Term Loan </t>
  </si>
  <si>
    <t>Cash Credit</t>
  </si>
  <si>
    <t>Total Fund Based Limit</t>
  </si>
  <si>
    <t>Non-Fund Based Limit</t>
  </si>
  <si>
    <t>Bank Guarantee</t>
  </si>
  <si>
    <t>Letter of Credit for Purchase</t>
  </si>
  <si>
    <t>Total Credit Exposure</t>
  </si>
  <si>
    <t>Factory land situated at Mouza - Shankharipota, J.L. No.- 36,
R.S. No.474, R.S. Khatian No,- 51, L.R. Khatian Nos.- 6, 82, 308
&amp; 309, P.S. Mahesh tala, Dist.- 24 Pgs(S), under Ashuti G.P.- II
measuring 0.45 Acre
Already acquired in 2017-18 and refelcted in the audited
financial statements]</t>
  </si>
  <si>
    <t>Equity Share Capital of Rs. 10 each [Existlng]</t>
  </si>
  <si>
    <t>Internal Accrual [Existing]</t>
  </si>
  <si>
    <t>Equity Share Capital of Rs. 10 each [Proposed]</t>
  </si>
  <si>
    <t>(Equity Share Capital of Rs. 10 each with Rs 40 Premium on each Share)</t>
  </si>
  <si>
    <t>Premium on Share Capital</t>
  </si>
  <si>
    <t>Shareholding Pattern</t>
  </si>
  <si>
    <t>DETAILS OF LAND AND SITE DEVELOPMENT</t>
  </si>
  <si>
    <t>-</t>
  </si>
  <si>
    <t>DETAILS OF CIVIL CONSTRUCTION</t>
  </si>
  <si>
    <t>Discription of Work</t>
  </si>
  <si>
    <t>Total (Rs In Lakhs)</t>
  </si>
  <si>
    <t>Civil construction of three storied factory building situated at
Mouza Shankharipota
Factory building Estimation enclosed for Civil construction
works including Plumbing and Electrification of civil work and
Supervision charges]</t>
  </si>
  <si>
    <t>Details of Plant and Machinery</t>
  </si>
  <si>
    <t>Rate per unit(Rs)</t>
  </si>
  <si>
    <t>Basic Price (Rs. in Lakhs)</t>
  </si>
  <si>
    <t>GST@18%</t>
  </si>
  <si>
    <t>Total  (Rs. in Lakhs)</t>
  </si>
  <si>
    <t>Quantity</t>
  </si>
  <si>
    <t>Injection Moulding Machine</t>
  </si>
  <si>
    <t>Baby Blow Moulding</t>
  </si>
  <si>
    <t>Crain</t>
  </si>
  <si>
    <t>Volumetric Blending Units MB Mini</t>
  </si>
  <si>
    <t>Cap Printing System</t>
  </si>
  <si>
    <t xml:space="preserve"> -Ped Printing Machine</t>
  </si>
  <si>
    <t xml:space="preserve"> -Additional Printing Machine</t>
  </si>
  <si>
    <t>Chilling Plant</t>
  </si>
  <si>
    <t>Electrical Equipment</t>
  </si>
  <si>
    <t>Flim Machine</t>
  </si>
  <si>
    <t>18* Scrap Grinder Machine</t>
  </si>
  <si>
    <t xml:space="preserve"> -With 7.5 H.P. Crompton Motor with Srarter</t>
  </si>
  <si>
    <t xml:space="preserve"> -With 7.5 H.P. Crompton Motor with Srarter (Soundless)</t>
  </si>
  <si>
    <t xml:space="preserve"> -Without Motor &amp; Starter</t>
  </si>
  <si>
    <t>FRP Counter Flow Cooling Tower (Including Erection Charges Rs 4000)</t>
  </si>
  <si>
    <t>Plastic Injection Moulding Machine</t>
  </si>
  <si>
    <t xml:space="preserve"> -150 Ton</t>
  </si>
  <si>
    <t xml:space="preserve"> -180 Ton</t>
  </si>
  <si>
    <t>Conveyor</t>
  </si>
  <si>
    <t>Markem-Imaje 9028 Printer</t>
  </si>
  <si>
    <t>Tool Room Equipment</t>
  </si>
  <si>
    <t>Office &amp; Office Equipment</t>
  </si>
  <si>
    <t>LS</t>
  </si>
  <si>
    <t>DETAILS OF MISCELLANEOUS FIXED ASSETS</t>
  </si>
  <si>
    <t>Particulares</t>
  </si>
  <si>
    <t>Furniture &amp; Fixture</t>
  </si>
  <si>
    <t>Misc F.A.</t>
  </si>
  <si>
    <t>Total</t>
  </si>
  <si>
    <t>Total (Rs. In Lakhs)</t>
  </si>
  <si>
    <t>DETAILS OF PRELIMINARY AND PREOPERATIVE EXPENSES</t>
  </si>
  <si>
    <t>Establishment Expenses including Salary to Staff at worksite</t>
  </si>
  <si>
    <t>Travelling Expenses</t>
  </si>
  <si>
    <t>Consultancy Fees</t>
  </si>
  <si>
    <t>Preliminary Expenses:</t>
  </si>
  <si>
    <t>Pre-operative Expenses</t>
  </si>
  <si>
    <t>Interest during construction period</t>
  </si>
  <si>
    <t>Total Preliminary and Pre-operative Expenses</t>
  </si>
  <si>
    <t>DETAILS OF CONTINGENCIES:</t>
  </si>
  <si>
    <t>Item</t>
  </si>
  <si>
    <t>Cost</t>
  </si>
  <si>
    <t>Land and Site Development</t>
  </si>
  <si>
    <t>Building</t>
  </si>
  <si>
    <t>Plant  &amp; Machinery</t>
  </si>
  <si>
    <t>Preliminary and Pre-operative Expenses</t>
  </si>
  <si>
    <t>COMPUTATION OF WORKING CAPITAL REQUIREMENTS</t>
  </si>
  <si>
    <t>Work-In-Progress</t>
  </si>
  <si>
    <t>Finished Goods</t>
  </si>
  <si>
    <t>Sundry Debtors</t>
  </si>
  <si>
    <t>Working Capital Requirements</t>
  </si>
  <si>
    <t>Sundry Creditors For Goods</t>
  </si>
  <si>
    <t>Holdings</t>
  </si>
  <si>
    <t>1.00 Month</t>
  </si>
  <si>
    <t>0.11 Month</t>
  </si>
  <si>
    <t>0.13 Month</t>
  </si>
  <si>
    <t>0.50 Month</t>
  </si>
  <si>
    <t>(Rs. in Lakhs)</t>
  </si>
  <si>
    <t>Net Working Capital Requirements</t>
  </si>
  <si>
    <t>Less: Margin for Working Capital</t>
  </si>
  <si>
    <t>Fund Based Limit Required</t>
  </si>
  <si>
    <t>Fund Based Cash Credit Limit Required</t>
  </si>
  <si>
    <t>Total Working Capital Limit Requested</t>
  </si>
  <si>
    <t>Interest on Cash Credit @ 8.50%</t>
  </si>
  <si>
    <t>Installed Capacity and Capacity Utilisation</t>
  </si>
  <si>
    <t>Plastic Items</t>
  </si>
  <si>
    <t>The Capacity Utilisation has been proposed at 70% in the first year,75% in the Il year
and 80% in the lll year and 85% onwards. Production in different years would be as under</t>
  </si>
  <si>
    <t>2025-26/Onwards</t>
  </si>
  <si>
    <t>Years</t>
  </si>
  <si>
    <t>%Age</t>
  </si>
  <si>
    <t>Sales Realisation</t>
  </si>
  <si>
    <t>The Sales realisation of the products are as follows:</t>
  </si>
  <si>
    <t>Finished Product</t>
  </si>
  <si>
    <t>Production Units</t>
  </si>
  <si>
    <t>Proportion</t>
  </si>
  <si>
    <t>Sales Price/Unit (In Rs.)</t>
  </si>
  <si>
    <t>Rs. In Lakhs</t>
  </si>
  <si>
    <t>Sales Realisation at 100% capacity utilization have been worked out as under</t>
  </si>
  <si>
    <t>Sales Realisation during different years of production will be as under</t>
  </si>
  <si>
    <t>Year</t>
  </si>
  <si>
    <t>Rs. in Lakhs Total</t>
  </si>
  <si>
    <t>Net Sales Realisation</t>
  </si>
  <si>
    <t>Sale value of production</t>
  </si>
  <si>
    <t>Add: Opening stock of WIP</t>
  </si>
  <si>
    <t>Less: Closing stock of WIP</t>
  </si>
  <si>
    <t>Add: Opening stock of finished goods</t>
  </si>
  <si>
    <t>Less: Closing stock of finished goods</t>
  </si>
  <si>
    <t>Gross sales value</t>
  </si>
  <si>
    <t>Net sales value</t>
  </si>
  <si>
    <t>Raw Material for the proposed product are as follows</t>
  </si>
  <si>
    <t>R/M Quantity per day</t>
  </si>
  <si>
    <t>Rate/Kg</t>
  </si>
  <si>
    <t>Total RM per day</t>
  </si>
  <si>
    <t>Raw Material [Including 5% Normal Loss]</t>
  </si>
  <si>
    <t>Consumable Stores -Per day consumtion of LS basis</t>
  </si>
  <si>
    <t>Hence, Raw Material requirement at 100% production will be as under: -</t>
  </si>
  <si>
    <t>Rs.</t>
  </si>
  <si>
    <t>Lakh</t>
  </si>
  <si>
    <t>The Total power requirement for plant &amp; machinery have been estimated as under</t>
  </si>
  <si>
    <t>Power Cost</t>
  </si>
  <si>
    <t>Total H.P. requirements of machinery [considering the motor requirements of all the machineries] is 145 HP ie., 97.35 KVA.</t>
  </si>
  <si>
    <t>The unit is proposed to instal 450 KVA trasformer.</t>
  </si>
  <si>
    <t>A power connection of 100 KVA is sufficient to run the plant smoothly.</t>
  </si>
  <si>
    <t>Total power consumption at 100% capacity level will be:</t>
  </si>
  <si>
    <t>97.35 KVA* 0.9 (Power Factor) * 0.70 (Load Factor) * 16 Hrs. *300 Days = 2,94,386 Units</t>
  </si>
  <si>
    <t>The power cost has been computed as under</t>
  </si>
  <si>
    <t>The Power cost in the different years will be as under:-</t>
  </si>
  <si>
    <t>Capacity Utlisation</t>
  </si>
  <si>
    <t>Units Consumption</t>
  </si>
  <si>
    <t>Demand Charges on 100 KVA Rs. 320/- per KVA per month.</t>
  </si>
  <si>
    <t>Energy Charges @Rs. 6.85 per unit</t>
  </si>
  <si>
    <t>The Power and Fuel cost in the different years will be as under</t>
  </si>
  <si>
    <t>Fuel Cost</t>
  </si>
  <si>
    <t>**10% increment is considered in the cost of Power&amp; Fuel Cost NR</t>
  </si>
  <si>
    <t>DETAILS OF SALARY AND WAGES</t>
  </si>
  <si>
    <t>An estimate of manpower requirement allowing for leave, absentecism, sickness and holidays for smooth and for efficient operation of different sections of the plant including its administrative and commercial departments, has been prepared purely on technical and management ground primarly to indicate the order of manpower requirement to provide guidelines for intiating action on recruitment and to make an estimate of the annual salary and wages bill, which will reflect on the production cost estimate.</t>
  </si>
  <si>
    <t>In estimating the manpower requirement, a proper ratio between the administrative, managerial, supervisory and shop foor staff has been maintained with a view to affording proper industrial and professional management at various levels. The fringe benefits has been taken 10% of the basic salary.</t>
  </si>
  <si>
    <t>The detail break up of manpower and salary and wages has been estimated as under:</t>
  </si>
  <si>
    <t>Labour</t>
  </si>
  <si>
    <t>Supervisor</t>
  </si>
  <si>
    <t>Operator</t>
  </si>
  <si>
    <t>Accountant</t>
  </si>
  <si>
    <t>Peon</t>
  </si>
  <si>
    <t>Guard</t>
  </si>
  <si>
    <t>Manager</t>
  </si>
  <si>
    <t>Nos.</t>
  </si>
  <si>
    <t>Amount (Rs. Lakhs)</t>
  </si>
  <si>
    <t>Salary/Month (Rs)</t>
  </si>
  <si>
    <t>ADD: BENEFITS@10 %</t>
  </si>
  <si>
    <t>SCHEDULE OF TERM LOAN INTEREST &amp; REPAYMENT</t>
  </si>
  <si>
    <t>Total Term Loan Rs</t>
  </si>
  <si>
    <t>Lakhs</t>
  </si>
  <si>
    <t>Rate of Interest</t>
  </si>
  <si>
    <t>P.A.</t>
  </si>
  <si>
    <t>Nos. of Quarterly Installments</t>
  </si>
  <si>
    <t>Qtr.</t>
  </si>
  <si>
    <t>Loan Amount</t>
  </si>
  <si>
    <t>Repayment</t>
  </si>
  <si>
    <t>Balance</t>
  </si>
  <si>
    <t>Interest</t>
  </si>
  <si>
    <t>2018-19</t>
  </si>
  <si>
    <t>No of years</t>
  </si>
  <si>
    <t xml:space="preserve">Payment </t>
  </si>
  <si>
    <t>Principal</t>
  </si>
  <si>
    <t>Payment Per year</t>
  </si>
  <si>
    <t>Number</t>
  </si>
  <si>
    <t>Compution of Depreciation</t>
  </si>
  <si>
    <t>Allocation of Preoperation And Contingencies Expenses</t>
  </si>
  <si>
    <t>Preoper/Contingencies</t>
  </si>
  <si>
    <t>Factory Building</t>
  </si>
  <si>
    <t>Plant and Machinery</t>
  </si>
  <si>
    <t>DEPRECIATION (AS PER COMPANIES ACT,1956 ON STRAIGHT LINE 
METHOD)</t>
  </si>
  <si>
    <t>Items</t>
  </si>
  <si>
    <t>Rate</t>
  </si>
  <si>
    <t>DRECIATION ( ON WDV METHOD AS PER INCOME TAX ACT,1961)</t>
  </si>
  <si>
    <t>Computation Of Income Tax:</t>
  </si>
  <si>
    <t>Profit Before Tax</t>
  </si>
  <si>
    <t>Add: Depreciation as per companies Act</t>
  </si>
  <si>
    <t>Less: Depreciation as per Income Tax Act</t>
  </si>
  <si>
    <t>Adjustment of Losses</t>
  </si>
  <si>
    <t>Taxable Income</t>
  </si>
  <si>
    <t>Income Tax on above@30.60%</t>
  </si>
  <si>
    <t>M AT@10.30%</t>
  </si>
  <si>
    <t>Tax Payable</t>
  </si>
  <si>
    <t>(Higher of MAT and Income Tax)</t>
  </si>
  <si>
    <t>Cash Flow Statement</t>
  </si>
  <si>
    <t>Consturction Period</t>
  </si>
  <si>
    <t>Source Of Funds</t>
  </si>
  <si>
    <t>Profit before tax with interest added back</t>
  </si>
  <si>
    <t>Depreciation &amp; Prel Exp</t>
  </si>
  <si>
    <t>Share Capital</t>
  </si>
  <si>
    <t>Bank Borrowing for cash credit</t>
  </si>
  <si>
    <t>Increase in other liability</t>
  </si>
  <si>
    <t>Unsecured Loan</t>
  </si>
  <si>
    <t>Increase in Liabilities for Exp</t>
  </si>
  <si>
    <t>Advance from customers</t>
  </si>
  <si>
    <t>Disposition of Funds</t>
  </si>
  <si>
    <t>Capital Expenditure</t>
  </si>
  <si>
    <t>Increase in Current Assets</t>
  </si>
  <si>
    <t>Intrest on Working Capital limits</t>
  </si>
  <si>
    <t>Dividends</t>
  </si>
  <si>
    <t>Interest on Unsecured Loan</t>
  </si>
  <si>
    <t>Repayment of Unsecured Loan</t>
  </si>
  <si>
    <t>Payment to Creditors for F.A.</t>
  </si>
  <si>
    <t>Advance to Suppliers</t>
  </si>
  <si>
    <t>Preliminary Exp</t>
  </si>
  <si>
    <t>Cash Surplus/Loss</t>
  </si>
  <si>
    <t>Opening Cash Balance</t>
  </si>
  <si>
    <t>Closing Cash Balance</t>
  </si>
  <si>
    <t>Margin for L/C and B/G</t>
  </si>
  <si>
    <t>Advance for Capital Goods</t>
  </si>
  <si>
    <t>Intrest on Term Loan</t>
  </si>
  <si>
    <t>Repayment of Term Loan</t>
  </si>
  <si>
    <t>Projected Balance Sheet</t>
  </si>
  <si>
    <t>Libilities</t>
  </si>
  <si>
    <t>Reserves And Surplus</t>
  </si>
  <si>
    <t>Bank Borrowings</t>
  </si>
  <si>
    <t>Other Current Liabilities</t>
  </si>
  <si>
    <t>Provision For Taxation</t>
  </si>
  <si>
    <t>Other Provision (other)</t>
  </si>
  <si>
    <t>Assets</t>
  </si>
  <si>
    <t>Gross Block</t>
  </si>
  <si>
    <t>Less: Depreciation</t>
  </si>
  <si>
    <t>Current Assets</t>
  </si>
  <si>
    <t>Net Bolck</t>
  </si>
  <si>
    <t>Cash and Bank Balance</t>
  </si>
  <si>
    <t>Fixed Deposits</t>
  </si>
  <si>
    <t>Advance to Others</t>
  </si>
  <si>
    <t>Advance Tax</t>
  </si>
  <si>
    <t>Advance to Capital Goods</t>
  </si>
  <si>
    <t>Preliminary &amp; Pre-Operative Exp. (Written Off in Five Years)</t>
  </si>
  <si>
    <t>Debt Services Coverage Ratio:</t>
  </si>
  <si>
    <t>Cash Accruals</t>
  </si>
  <si>
    <t>Use of Funds</t>
  </si>
  <si>
    <t>Repayment Of Term Loan</t>
  </si>
  <si>
    <t>Average DSCR</t>
  </si>
  <si>
    <t>Internal Rate Of Return</t>
  </si>
  <si>
    <t>Cash Outflow</t>
  </si>
  <si>
    <t>Increase in Margin Money</t>
  </si>
  <si>
    <t>Cash Inflow</t>
  </si>
  <si>
    <t>EBITDA</t>
  </si>
  <si>
    <t>Release of Margin Money</t>
  </si>
  <si>
    <t>Salvage Value of Fixed Assets</t>
  </si>
  <si>
    <t>Net Cash Inflow</t>
  </si>
  <si>
    <t>IRR</t>
  </si>
  <si>
    <t>Historical Balance Sheet</t>
  </si>
  <si>
    <t xml:space="preserve">Particular </t>
  </si>
  <si>
    <t>EQUITY AND LIABILITIES</t>
  </si>
  <si>
    <t>Shareholders' Funds</t>
  </si>
  <si>
    <t>Reserve and Surplus</t>
  </si>
  <si>
    <t>Total Shareholders' Funds</t>
  </si>
  <si>
    <t>Current Liabilities</t>
  </si>
  <si>
    <t>Short Term Borrowings</t>
  </si>
  <si>
    <t>Trade payable</t>
  </si>
  <si>
    <t>Short Term Provision</t>
  </si>
  <si>
    <t>Total Current Liabilities</t>
  </si>
  <si>
    <t>Total Equity and Liabilities</t>
  </si>
  <si>
    <t>ASSETS</t>
  </si>
  <si>
    <t>Non-Current Assets</t>
  </si>
  <si>
    <t>(a) Fixed Assets</t>
  </si>
  <si>
    <t>Tangible Assets</t>
  </si>
  <si>
    <t>Other Non- current Assets Security Deposits</t>
  </si>
  <si>
    <t>Total Non-Current Assets</t>
  </si>
  <si>
    <t>Inventories</t>
  </si>
  <si>
    <t>Trade Receivables</t>
  </si>
  <si>
    <t>Cash and Cash Equivalents</t>
  </si>
  <si>
    <t>Short Term Loans and Advances</t>
  </si>
  <si>
    <t>Other Receivables</t>
  </si>
  <si>
    <t>Total Current Assets</t>
  </si>
  <si>
    <t>Total Assets</t>
  </si>
  <si>
    <t>Historical Profit and Loss</t>
  </si>
  <si>
    <t>31st March 2019</t>
  </si>
  <si>
    <t>31st March 2020</t>
  </si>
  <si>
    <t>31st March 2021</t>
  </si>
  <si>
    <t>31st March 2022</t>
  </si>
  <si>
    <t>Revenue From Operation</t>
  </si>
  <si>
    <t>Revenue from Operations</t>
  </si>
  <si>
    <t>Sales</t>
  </si>
  <si>
    <t>Other income</t>
  </si>
  <si>
    <t>Trading Sales</t>
  </si>
  <si>
    <t>Total Income</t>
  </si>
  <si>
    <t>EXPENSES</t>
  </si>
  <si>
    <t>Sundry balances Written back</t>
  </si>
  <si>
    <t>Cost of material Consumed</t>
  </si>
  <si>
    <t>Changes in Inventories of Finished Goods</t>
  </si>
  <si>
    <t>Employees benefit Expenses</t>
  </si>
  <si>
    <t>Discount&amp; Rebate Received</t>
  </si>
  <si>
    <t>Other Operating and General Expenses</t>
  </si>
  <si>
    <t>Miscellaneous Income</t>
  </si>
  <si>
    <t>Total expenses</t>
  </si>
  <si>
    <t>Items pertaining to Previous Year</t>
  </si>
  <si>
    <t>Closing Stock of Finished Goods</t>
  </si>
  <si>
    <t>Depreciation and Amortisation Expenses</t>
  </si>
  <si>
    <t>Total Revenue</t>
  </si>
  <si>
    <t>EBIT</t>
  </si>
  <si>
    <t>Finance Costs</t>
  </si>
  <si>
    <t>EXPENDITURE</t>
  </si>
  <si>
    <t>Items pertaining to Previous year</t>
  </si>
  <si>
    <t>Opening Stock of Finished Goods</t>
  </si>
  <si>
    <t>Profit/(Loss) before tax</t>
  </si>
  <si>
    <t>Raw Materials Consumed</t>
  </si>
  <si>
    <t xml:space="preserve">Tax expense: </t>
  </si>
  <si>
    <t>Trading Purchase</t>
  </si>
  <si>
    <t>Current Tax</t>
  </si>
  <si>
    <t>Employee benefits expenses</t>
  </si>
  <si>
    <t>Profit (Loss) after Tax for the period</t>
  </si>
  <si>
    <t>Director Salaries</t>
  </si>
  <si>
    <t>EBITDA Margin %</t>
  </si>
  <si>
    <t>Statutory Audit Fees</t>
  </si>
  <si>
    <t>EBIT Margin %</t>
  </si>
  <si>
    <t>Power &amp; Fuel</t>
  </si>
  <si>
    <t>Net Profit Margin %</t>
  </si>
  <si>
    <t>Other Expenses</t>
  </si>
  <si>
    <t>Revenue Growth % (Y.O.Y.)</t>
  </si>
  <si>
    <t>Rates &amp;Taxes</t>
  </si>
  <si>
    <t>Stores &amp; Spares</t>
  </si>
  <si>
    <t>Processing Charges</t>
  </si>
  <si>
    <t>Professional Fees &amp; Service Charges</t>
  </si>
  <si>
    <t>Sundry balances Written off</t>
  </si>
  <si>
    <t>Total Expenditure</t>
  </si>
  <si>
    <t>Profit/Loss before exceptional and extraordinary items and tax</t>
  </si>
  <si>
    <t>Profit/Loss before extraordinary items and tax</t>
  </si>
  <si>
    <t>Tax Expense:</t>
  </si>
  <si>
    <t>Current tax expense for current year</t>
  </si>
  <si>
    <t>Profit/ Loss for the year after Tax</t>
  </si>
  <si>
    <t>Basic Earnings per Equity Share of Face value of 10.1</t>
  </si>
  <si>
    <t xml:space="preserve">UDIN : </t>
  </si>
  <si>
    <t>22053579AWTBTH1413</t>
  </si>
  <si>
    <t>Value</t>
  </si>
  <si>
    <t>As per elcticity bill, it is estimated that the plant is running at a capacity utilization of 80%.</t>
  </si>
  <si>
    <t>2019-20</t>
  </si>
  <si>
    <t>2020-21</t>
  </si>
  <si>
    <t>2021-22</t>
  </si>
  <si>
    <t>Total Sales</t>
  </si>
  <si>
    <t>COGS</t>
  </si>
  <si>
    <t>Inventories as a % COGS</t>
  </si>
  <si>
    <t>TR as a % of Sales</t>
  </si>
  <si>
    <t>TP as a % of COGS</t>
  </si>
  <si>
    <t>Projected</t>
  </si>
  <si>
    <t>The inventory turnover ratio is calculated by dividing the cost of goods by average inventory for the same period.</t>
  </si>
  <si>
    <t>Inventory Turnover Ratio</t>
  </si>
  <si>
    <t>Debtors Turnover Ratio</t>
  </si>
  <si>
    <t>in lakh</t>
  </si>
  <si>
    <t>Kgs</t>
  </si>
  <si>
    <t>Total Power Consumption</t>
  </si>
  <si>
    <t>Units</t>
  </si>
  <si>
    <t>Salary yearly (Rs)</t>
  </si>
  <si>
    <t>Raw Materials</t>
  </si>
  <si>
    <t>Free cash flow</t>
  </si>
  <si>
    <t>Terminal value</t>
  </si>
  <si>
    <t>FCF + Terminal value</t>
  </si>
  <si>
    <t>Discount rate</t>
  </si>
  <si>
    <t>Expected growth rate(Terminal)</t>
  </si>
  <si>
    <t>Present value of future cash flows</t>
  </si>
  <si>
    <t>NPV</t>
  </si>
  <si>
    <t>Plastic Industry Expected CAGR 3.7%</t>
  </si>
  <si>
    <t>15 year average return ofNifty 50</t>
  </si>
  <si>
    <t>Selling General Administrative Expenses</t>
  </si>
  <si>
    <t>Total (Rs in Lakhs)</t>
  </si>
  <si>
    <t>Sales Vales of Production</t>
  </si>
  <si>
    <t>Capacity Utilisation</t>
  </si>
  <si>
    <t>Should I give it 5% increment after every 2nd year</t>
  </si>
  <si>
    <t>Capacity Utilisation %</t>
  </si>
  <si>
    <t xml:space="preserve"> Raw Material</t>
  </si>
  <si>
    <t xml:space="preserve">  Period</t>
  </si>
  <si>
    <t xml:space="preserve">  Discount Factor</t>
  </si>
  <si>
    <t xml:space="preserve">  IRR</t>
  </si>
  <si>
    <t>Amount Rs. In Lakhs</t>
  </si>
  <si>
    <t xml:space="preserve"> Amount (Rs In Lakhs)</t>
  </si>
  <si>
    <t>Amount (Rs. In Lakhs)</t>
  </si>
  <si>
    <t>Amount (Rs In Lakhs)</t>
  </si>
  <si>
    <t>Energy Consumption in  Lakhs</t>
  </si>
  <si>
    <t>Electricity Duty in Lakhs</t>
  </si>
  <si>
    <t>Projected Income Statement</t>
  </si>
  <si>
    <t>Plasto Packaging Private Limited - Projected Income Statement</t>
  </si>
  <si>
    <t>High-density polyethylene (HDPE)</t>
  </si>
  <si>
    <t xml:space="preserve"> low density polyethylene (LDPE)</t>
  </si>
  <si>
    <t>Linear Low Density Polyethylene (LLDPE)</t>
  </si>
  <si>
    <t>High Impact Polystyrene Sheet (HIPS)</t>
  </si>
  <si>
    <t>Polypropylene (PP)</t>
  </si>
  <si>
    <t>Acrylonitrile butadiene styrene (ABS)</t>
  </si>
  <si>
    <t>Polyvinyl chloride (PVC)</t>
  </si>
  <si>
    <t>Raw Material Grenuals</t>
  </si>
  <si>
    <t>https://www.google.com/search?q=High-density+polyethylene+%28HDPE%29+price+range&amp;ei=Y_SaY4DNKfeTseMPxa6C2Ag&amp;ved=0ahUKEwjAitjcsvv7AhX3SWwGHUWXAIsQ4dUDCA8&amp;uact=5&amp;oq=High-density+polyethylene+%28HDPE%29+price+range&amp;gs_lcp=Cgxnd3Mtd2l6LXNlcnAQAzILCCEQFhAeEPEEEB06CggAEEcQ1gQQsAM6DQguEI8BEOoCELQCGAE6DQgAEI8BEOoCELQCGAE6EwguEI8BEMcBENEDEOoCELQCGAE6BQgAEIAEOgkIABAWEB4Q8QQ6BggAEBYQHjoICAAQFhAeEA86BQgAEIYDOgUIIRCgAToICCEQFhAeEB06CgghEBYQHhAPEB06BAghEBVKBAhBGABKBAhGGABQzg1YqDtg8D1oAnABeACAAcoBiAHCEJIBBjAuMTIuMZgBAKABAaABArABCsgBCMABAdoBBAgBGAo&amp;sclient=gws-wiz-serp</t>
  </si>
  <si>
    <t>https://www.google.com/search?q=+low+density+polyethylene+%28LDPE%29+price+range&amp;ei=IRucY-H6A7GN4-EPhPSw0As&amp;ved=0ahUKEwihj9Xny_37AhWxxjgGHQQ6DLoQ4dUDCA8&amp;uact=5&amp;oq=+low+density+polyethylene+%28LDPE%29+price+range&amp;gs_lcp=Cgxnd3Mtd2l6LXNlcnAQAzIFCAAQogQyBQgAEKIEMgUIABCiBDIHCAAQHhCiBEoECEEYAEoECEYYAFAAWABgvQdoAHABeACAAcABiAHAAZIBAzAuMZgBAKABAqABAcABAQ&amp;sclient=gws-wiz-serp</t>
  </si>
  <si>
    <t>https://www.google.com/search?q=Linear+Low+Density+Polyethylene+%28LLDPE%29+price+range&amp;ei=hBucY8bpENOY4-EPouavsAI&amp;ved=0ahUKEwjGu_yWzP37AhVTzDgGHSLzCyYQ4dUDCA8&amp;uact=5&amp;oq=Linear+Low+Density+Polyethylene+%28LLDPE%29+price+range&amp;gs_lcp=Cgxnd3Mtd2l6LXNlcnAQAzIFCAAQogQyBQgAEKIEMgUIABCiBEoECEEYAEoECEYYAFAAWABgjAhoAHABeACAAe4BiAHuAZIBAzItMZgBAKABAqABAcABAQ&amp;sclient=gws-wiz-serp</t>
  </si>
  <si>
    <t>https://www.google.com/search?q=High+Impact+Polystyrene+Sheet+%28HIPS%29+price+range&amp;ei=qBucY_3sL7-L4-EPgJSviAQ&amp;ved=0ahUKEwj94LCozP37AhW_xTgGHQDKC0EQ4dUDCA8&amp;uact=5&amp;oq=High+Impact+Polystyrene+Sheet+%28HIPS%29+price+range&amp;gs_lcp=Cgxnd3Mtd2l6LXNlcnAQAzIFCAAQogQyBwgAEB4QogQyBQgAEKIEMgUIABCiBEoECEEYAEoECEYYAFAAWABggAhoAHABeACAAZECiAGRApIBAzItMZgBAKABAqABAcABAQ&amp;sclient=gws-wiz-serp</t>
  </si>
  <si>
    <t>https://www.google.com/search?q=Polypropylene+%28PP%29+price+range&amp;ei=1RucY76YCrLDpget-5yYCA&amp;ved=0ahUKEwj-1sW9zP37AhWyoekKHa09B4MQ4dUDCA8&amp;uact=5&amp;oq=Polypropylene+%28PP%29+price+range&amp;gs_lcp=Cgxnd3Mtd2l6LXNlcnAQAzIHCAAQHhCiBDIFCAAQogQyBQgAEKIEMgcIABAeEKIESgQIQRgASgQIRhgAUABYAGCBCGgAcAF4AIABxQGIAcUBkgEDMC4xmAEAoAECoAEBwAEB&amp;sclient=gws-wiz-serp</t>
  </si>
  <si>
    <t>https://www.google.com/search?q=Acrylonitrile+butadiene+styrene+%28ABS%29+price+range&amp;ei=ExycY92VCouc4-EPv4uHgA4&amp;ved=0ahUKEwid643bzP37AhULzjgGHb_FAeAQ4dUDCA8&amp;uact=5&amp;oq=Acrylonitrile+butadiene+styrene+%28ABS%29+price+range&amp;gs_lcp=Cgxnd3Mtd2l6LXNlcnAQAzIFCAAQogQyBQgAEKIEMgUIABCiBDIFCAAQogRKBAhBGABKBAhGGABQAFgAYJ0IaABwAXgAgAHIAYgByAGSAQMyLTGYAQCgAQKgAQHAAQE&amp;sclient=gws-wiz-serp</t>
  </si>
  <si>
    <t>https://www.google.com/search?q=Polyvinyl+chloride+%28PVC%29+price+range&amp;ei=KRycY9TGBsjx4-EP8ZekiA8&amp;ved=0ahUKEwiU_8jlzP37AhXI-DgGHfELCfEQ4dUDCA8&amp;uact=5&amp;oq=Polyvinyl+chloride+%28PVC%29+price+range&amp;gs_lcp=Cgxnd3Mtd2l6LXNlcnAQAzIFCAAQogQyBQgAEKIEMgUIABCiBDIFCAAQogRKBAhBGABKBAhGGABQAFgAYP4IaABwAXgAgAG0AYgBtAGSAQMwLjGYAQCgAQKgAQHAAQE&amp;sclient=gws-wiz-serp</t>
  </si>
  <si>
    <t>Minium Price per kg in Rs</t>
  </si>
  <si>
    <t>Maximum Price per kg in Rs</t>
  </si>
  <si>
    <t>Average Price</t>
  </si>
  <si>
    <t>List of Products</t>
  </si>
  <si>
    <t>PLASTIC BALL PEN BARREL</t>
  </si>
  <si>
    <t>PLASTIC BALL PEN CAP</t>
  </si>
  <si>
    <t>PLASTIC BALL PEN CLIP</t>
  </si>
  <si>
    <t>PLASTIC CORE</t>
  </si>
  <si>
    <t>PLASTIC CONTAINER FOR BALM</t>
  </si>
  <si>
    <t>PLASTIC CAP</t>
  </si>
  <si>
    <t>PLASTIC DIBBI FOR OINMENT</t>
  </si>
  <si>
    <t>PLASTIC JARCAP</t>
  </si>
  <si>
    <t>Ratios</t>
  </si>
  <si>
    <t>Current Ratio</t>
  </si>
  <si>
    <t>Debt Equity Ratio</t>
  </si>
  <si>
    <t>Net profit ratio</t>
  </si>
  <si>
    <t>Return on investment</t>
  </si>
  <si>
    <t>Numerator</t>
  </si>
  <si>
    <t>Debt Capital</t>
  </si>
  <si>
    <t>EBITDA-CAPEX</t>
  </si>
  <si>
    <t>Profit for the year</t>
  </si>
  <si>
    <t>Debt Service Coverage ratio</t>
  </si>
  <si>
    <t>Return on Equity Ratio</t>
  </si>
  <si>
    <t>Trade Receivables turnover ratio</t>
  </si>
  <si>
    <t>Trade payables turnover ratio</t>
  </si>
  <si>
    <t>Net capital turnover ratio</t>
  </si>
  <si>
    <t>Return on Capital employed</t>
  </si>
  <si>
    <t>Total Purchases (Fuel Cost + Other Expenses+Closing Inventory-Opening Inventory)</t>
  </si>
  <si>
    <t>Net Profit</t>
  </si>
  <si>
    <t>Earnings before interest and tax</t>
  </si>
  <si>
    <t>Denominator</t>
  </si>
  <si>
    <t>Shareholder's Equity</t>
  </si>
  <si>
    <t>Debt Service (Int+Principal)</t>
  </si>
  <si>
    <t>Average Shareholder's Equity</t>
  </si>
  <si>
    <t>Average Inventory</t>
  </si>
  <si>
    <t>Average trade receivables</t>
  </si>
  <si>
    <t>Average Trade Payables</t>
  </si>
  <si>
    <t>Workimg capital (CA-CL)</t>
  </si>
  <si>
    <t>Income</t>
  </si>
  <si>
    <t>Capital Employed</t>
  </si>
  <si>
    <t>Investment</t>
  </si>
  <si>
    <t>% of Change</t>
  </si>
  <si>
    <t xml:space="preserve"> -</t>
  </si>
  <si>
    <r>
      <t>Polycarbonate</t>
    </r>
    <r>
      <rPr>
        <sz val="10"/>
        <color rgb="FF202124"/>
        <rFont val="Arial"/>
        <family val="2"/>
      </rPr>
      <t> (PC)</t>
    </r>
  </si>
  <si>
    <t>Colour MasterBatch</t>
  </si>
  <si>
    <t>Raw Material Plastic Grenuals</t>
  </si>
  <si>
    <t>List of Suppliers</t>
  </si>
  <si>
    <t>Suprim Petrochem Ltd.</t>
  </si>
  <si>
    <t>HPCL/IOC/Relience</t>
  </si>
  <si>
    <t>Makrolon</t>
  </si>
  <si>
    <t>Ineos Styrolution/ Absolac</t>
  </si>
  <si>
    <t>Probhu/Rachana/K K Polycolor</t>
  </si>
  <si>
    <t>List of Finished Goods</t>
  </si>
  <si>
    <t>List of Buyers</t>
  </si>
  <si>
    <t>PLASTIC CONTAINER</t>
  </si>
  <si>
    <t>Dream Enterprise</t>
  </si>
  <si>
    <t>Interact Text Lalels Pvt. Ltd.</t>
  </si>
  <si>
    <t>PB Holotechindia Pvt. Ltd.</t>
  </si>
  <si>
    <t xml:space="preserve">S.K. Ayurved / Fair Creative </t>
  </si>
  <si>
    <t>Sri Ramkrishna</t>
  </si>
  <si>
    <t>Tarun Ayurvedic Products/Orissa Ayurved Bhawan</t>
  </si>
  <si>
    <t>Chakraborty Enterprise/ K.S.Industries/Progressive Food Products</t>
  </si>
  <si>
    <t>Gopal Krishna Industries</t>
  </si>
  <si>
    <t>Bijoli Grill Caterers Pvt. Ltd. / Cravemote Food Services Pvt. Ltd / N. S. Traders / Singhj's</t>
  </si>
  <si>
    <t>2029-30</t>
  </si>
  <si>
    <t>Raw Material Holding (1.00 Month)</t>
  </si>
  <si>
    <t>Electricity Duty (10% on 6.85 unit) @Rs. 1.02 per unit</t>
  </si>
  <si>
    <t>Mortorium period</t>
  </si>
  <si>
    <t>COD</t>
  </si>
  <si>
    <t>XIRR</t>
  </si>
  <si>
    <t>The unit will run in Two Shift per day and 300 days a year and perodical cleaning and maintenance work will be done all these days. The proposed unit will have the manufacturing/installed capacity per year as under</t>
  </si>
  <si>
    <t>Production (Pair) Kgs</t>
  </si>
  <si>
    <t>Maximum DSCR</t>
  </si>
  <si>
    <t>EBITDA Margin</t>
  </si>
  <si>
    <t>Average EBITDA Margin</t>
  </si>
  <si>
    <t>Average EBIT Margin</t>
  </si>
  <si>
    <t>PV of TV</t>
  </si>
  <si>
    <t>Capacity Intlization</t>
  </si>
  <si>
    <t xml:space="preserve">Break-Even Sales </t>
  </si>
  <si>
    <t>Sales Realiosation (Sales Value of Productions)</t>
  </si>
  <si>
    <t>A.</t>
  </si>
  <si>
    <t>B.</t>
  </si>
  <si>
    <t>Variable Cost</t>
  </si>
  <si>
    <t>Consumable Store</t>
  </si>
  <si>
    <t>Working Capital Interest</t>
  </si>
  <si>
    <t>Selling Expenses</t>
  </si>
  <si>
    <t>C.</t>
  </si>
  <si>
    <t>Fixed &amp; Semi-Variable Cost</t>
  </si>
  <si>
    <t>Repair &amp; Maintenance</t>
  </si>
  <si>
    <t>Salary &amp; Wages</t>
  </si>
  <si>
    <t>Administrative Expenses</t>
  </si>
  <si>
    <t>Interest on Unsecured  Loan</t>
  </si>
  <si>
    <t>D.</t>
  </si>
  <si>
    <t>Contribution</t>
  </si>
  <si>
    <t>E.</t>
  </si>
  <si>
    <t>Break-Even Sales</t>
  </si>
  <si>
    <t>Gross</t>
  </si>
  <si>
    <t>Cash</t>
  </si>
  <si>
    <t>F.</t>
  </si>
  <si>
    <t>Break-Even Point</t>
  </si>
  <si>
    <t>Capacity</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</si>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</sst>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8" formatCode="&quot;₹&quot;\ #,##0.00;[Red]&quot;₹&quot;\ \-#,##0.00"/>
    <numFmt numFmtId="43" formatCode="_ * #,##0.00_ ;_ * \-#,##0.00_ ;_ * &quot;-&quot;??_ ;_ @_ "/>
    <numFmt numFmtId="164" formatCode="&quot;FY&quot;\ 0\ &quot;A&quot;"/>
    <numFmt numFmtId="165" formatCode="0.00_);\(0.00\)"/>
    <numFmt numFmtId="166" formatCode="_-* #,##0.00_-;\-* #,##0.00_-;_-* &quot;-&quot;??_-;_-@_-"/>
    <numFmt numFmtId="167" formatCode="0.0%"/>
    <numFmt numFmtId="168" formatCode="0.0_);\(0.0\)"/>
    <numFmt numFmtId="169" formatCode="_ * #,##0_ ;_ * \-#,##0_ ;_ * &quot;-&quot;??_ ;_ @_ "/>
  </numFmts>
  <fonts count="1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4"/>
      <color theme="1"/>
      <name val="Calibri"/>
      <family val="2"/>
      <scheme val="minor"/>
    </font>
    <font>
      <b/>
      <sz val="11"/>
      <name val="Calibri"/>
      <family val="2"/>
      <scheme val="minor"/>
    </font>
    <font>
      <u/>
      <sz val="11"/>
      <color theme="1"/>
      <name val="Calibri"/>
      <family val="2"/>
      <scheme val="minor"/>
    </font>
    <font>
      <b/>
      <i/>
      <sz val="11"/>
      <color rgb="FF000000"/>
      <name val="Calibri"/>
      <family val="2"/>
    </font>
    <font>
      <sz val="11"/>
      <color theme="4" tint="-0.249977111117893"/>
      <name val="Calibri"/>
      <family val="2"/>
      <scheme val="minor"/>
    </font>
    <font>
      <sz val="10"/>
      <name val="Arial"/>
      <family val="2"/>
    </font>
    <font>
      <sz val="11"/>
      <name val="Calibri"/>
      <family val="2"/>
      <scheme val="minor"/>
    </font>
    <font>
      <sz val="9"/>
      <color indexed="81"/>
      <name val="Tahoma"/>
      <family val="2"/>
    </font>
    <font>
      <b/>
      <sz val="9"/>
      <color indexed="81"/>
      <name val="Tahoma"/>
      <family val="2"/>
    </font>
    <font>
      <b/>
      <sz val="14"/>
      <color rgb="FFC00000"/>
      <name val="Calibri"/>
      <family val="2"/>
      <scheme val="minor"/>
    </font>
    <font>
      <sz val="10"/>
      <color rgb="FF202124"/>
      <name val="Arial"/>
      <family val="2"/>
    </font>
  </fonts>
  <fills count="8">
    <fill>
      <patternFill patternType="none"/>
    </fill>
    <fill>
      <patternFill patternType="gray125"/>
    </fill>
    <fill>
      <patternFill patternType="solid">
        <fgColor theme="5"/>
        <bgColor indexed="64"/>
      </patternFill>
    </fill>
    <fill>
      <patternFill patternType="solid">
        <fgColor rgb="FF002060"/>
        <bgColor indexed="64"/>
      </patternFill>
    </fill>
    <fill>
      <patternFill patternType="solid">
        <fgColor theme="5" tint="0.39997558519241921"/>
        <bgColor indexed="64"/>
      </patternFill>
    </fill>
    <fill>
      <patternFill patternType="solid">
        <fgColor rgb="FFFFFF00"/>
        <bgColor indexed="64"/>
      </patternFill>
    </fill>
    <fill>
      <patternFill patternType="solid">
        <fgColor theme="3" tint="0.39997558519241921"/>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4">
    <xf numFmtId="0" fontId="0" fillId="0" borderId="0"/>
    <xf numFmtId="9" fontId="1" fillId="0" borderId="0" applyFont="0" applyFill="0" applyBorder="0" applyAlignment="0" applyProtection="0"/>
    <xf numFmtId="166" fontId="9" fillId="0" borderId="0" applyFont="0" applyFill="0" applyBorder="0" applyAlignment="0" applyProtection="0"/>
    <xf numFmtId="43" fontId="1" fillId="0" borderId="0" applyFont="0" applyFill="0" applyBorder="0" applyAlignment="0" applyProtection="0"/>
  </cellStyleXfs>
  <cellXfs count="134">
    <xf numFmtId="0" fontId="0" fillId="0" borderId="0" xfId="0"/>
    <xf numFmtId="0" fontId="4" fillId="0" borderId="0" xfId="0" applyFont="1"/>
    <xf numFmtId="0" fontId="2" fillId="3" borderId="0" xfId="0" applyFont="1" applyFill="1"/>
    <xf numFmtId="0" fontId="3" fillId="0" borderId="0" xfId="0" applyFont="1"/>
    <xf numFmtId="0" fontId="3" fillId="0" borderId="0" xfId="0" applyFont="1" applyAlignment="1">
      <alignment horizontal="center"/>
    </xf>
    <xf numFmtId="9" fontId="0" fillId="0" borderId="0" xfId="0" applyNumberFormat="1"/>
    <xf numFmtId="2" fontId="0" fillId="0" borderId="0" xfId="0" applyNumberFormat="1"/>
    <xf numFmtId="0" fontId="0" fillId="0" borderId="0" xfId="0" applyFont="1"/>
    <xf numFmtId="2" fontId="3" fillId="0" borderId="0" xfId="0" applyNumberFormat="1" applyFont="1"/>
    <xf numFmtId="10" fontId="0" fillId="0" borderId="0" xfId="0" applyNumberFormat="1"/>
    <xf numFmtId="0" fontId="0" fillId="0" borderId="1" xfId="0" applyBorder="1"/>
    <xf numFmtId="0" fontId="0" fillId="0" borderId="1" xfId="0" applyBorder="1" applyAlignment="1">
      <alignment wrapText="1"/>
    </xf>
    <xf numFmtId="2" fontId="0" fillId="0" borderId="1" xfId="0" applyNumberFormat="1" applyBorder="1"/>
    <xf numFmtId="10" fontId="0" fillId="0" borderId="1" xfId="0" applyNumberFormat="1" applyBorder="1"/>
    <xf numFmtId="9" fontId="0" fillId="0" borderId="1" xfId="0" applyNumberFormat="1" applyBorder="1"/>
    <xf numFmtId="0" fontId="3" fillId="0" borderId="1" xfId="0" applyFont="1" applyBorder="1"/>
    <xf numFmtId="9" fontId="0" fillId="0" borderId="1" xfId="1" applyFont="1" applyBorder="1"/>
    <xf numFmtId="0" fontId="0" fillId="0" borderId="1" xfId="0" applyBorder="1" applyAlignment="1">
      <alignment horizontal="center" vertical="center"/>
    </xf>
    <xf numFmtId="0" fontId="0" fillId="0" borderId="0" xfId="0" applyAlignment="1"/>
    <xf numFmtId="0" fontId="5" fillId="0" borderId="0" xfId="0" applyFont="1" applyFill="1"/>
    <xf numFmtId="0" fontId="0" fillId="5" borderId="0" xfId="0" applyFill="1"/>
    <xf numFmtId="0" fontId="2" fillId="3" borderId="1" xfId="0" applyFont="1" applyFill="1" applyBorder="1" applyAlignment="1">
      <alignment vertical="center"/>
    </xf>
    <xf numFmtId="164" fontId="2" fillId="3" borderId="1" xfId="0" applyNumberFormat="1" applyFont="1" applyFill="1" applyBorder="1" applyAlignment="1">
      <alignment horizontal="center" vertical="center"/>
    </xf>
    <xf numFmtId="0" fontId="3" fillId="6" borderId="1" xfId="0" applyFont="1" applyFill="1" applyBorder="1"/>
    <xf numFmtId="2" fontId="3" fillId="6" borderId="1" xfId="0" applyNumberFormat="1" applyFont="1" applyFill="1" applyBorder="1"/>
    <xf numFmtId="0" fontId="3" fillId="7" borderId="1" xfId="0" applyFont="1" applyFill="1" applyBorder="1"/>
    <xf numFmtId="2" fontId="3" fillId="7" borderId="1" xfId="0" applyNumberFormat="1" applyFont="1" applyFill="1" applyBorder="1"/>
    <xf numFmtId="165" fontId="3" fillId="6" borderId="1" xfId="0" applyNumberFormat="1" applyFont="1" applyFill="1" applyBorder="1"/>
    <xf numFmtId="0" fontId="0" fillId="0" borderId="1" xfId="0" applyFont="1" applyBorder="1"/>
    <xf numFmtId="2" fontId="0" fillId="0" borderId="1" xfId="0" applyNumberFormat="1" applyBorder="1" applyAlignment="1">
      <alignment horizontal="center"/>
    </xf>
    <xf numFmtId="0" fontId="2" fillId="3" borderId="1" xfId="0" applyFont="1" applyFill="1" applyBorder="1"/>
    <xf numFmtId="165" fontId="2" fillId="3" borderId="1" xfId="0" applyNumberFormat="1" applyFont="1" applyFill="1" applyBorder="1"/>
    <xf numFmtId="0" fontId="7" fillId="0" borderId="1" xfId="0" applyFont="1" applyBorder="1" applyAlignment="1">
      <alignment vertical="center"/>
    </xf>
    <xf numFmtId="10" fontId="0" fillId="0" borderId="1" xfId="1" applyNumberFormat="1" applyFont="1" applyBorder="1"/>
    <xf numFmtId="9" fontId="0" fillId="0" borderId="0" xfId="1" applyFont="1"/>
    <xf numFmtId="9" fontId="8" fillId="0" borderId="0" xfId="0" applyNumberFormat="1" applyFont="1"/>
    <xf numFmtId="2" fontId="0" fillId="5" borderId="0" xfId="0" applyNumberFormat="1" applyFill="1"/>
    <xf numFmtId="2" fontId="0" fillId="5" borderId="1" xfId="0" applyNumberFormat="1" applyFill="1" applyBorder="1"/>
    <xf numFmtId="0" fontId="0" fillId="5" borderId="1" xfId="0" applyFill="1" applyBorder="1"/>
    <xf numFmtId="0" fontId="3" fillId="5" borderId="0" xfId="0" applyFont="1" applyFill="1"/>
    <xf numFmtId="166" fontId="5" fillId="7" borderId="1" xfId="2" applyFont="1" applyFill="1" applyBorder="1" applyAlignment="1">
      <alignment horizontal="left" vertical="center"/>
    </xf>
    <xf numFmtId="166" fontId="10" fillId="7" borderId="1" xfId="2" applyFont="1" applyFill="1" applyBorder="1" applyAlignment="1">
      <alignment horizontal="left" vertical="center"/>
    </xf>
    <xf numFmtId="0" fontId="0" fillId="2" borderId="1" xfId="0" applyFill="1" applyBorder="1"/>
    <xf numFmtId="0" fontId="0" fillId="0" borderId="1" xfId="0" applyBorder="1" applyAlignment="1">
      <alignment horizontal="center"/>
    </xf>
    <xf numFmtId="9" fontId="8" fillId="0" borderId="0" xfId="1" applyFont="1"/>
    <xf numFmtId="9" fontId="8" fillId="0" borderId="0" xfId="1" applyNumberFormat="1" applyFont="1"/>
    <xf numFmtId="0" fontId="0" fillId="0" borderId="0" xfId="0" applyAlignment="1">
      <alignment horizontal="center"/>
    </xf>
    <xf numFmtId="165" fontId="3" fillId="6" borderId="1" xfId="0" applyNumberFormat="1" applyFont="1" applyFill="1" applyBorder="1" applyAlignment="1">
      <alignment horizontal="center"/>
    </xf>
    <xf numFmtId="10" fontId="0" fillId="0" borderId="1" xfId="0" applyNumberFormat="1" applyBorder="1" applyAlignment="1">
      <alignment horizontal="center"/>
    </xf>
    <xf numFmtId="165" fontId="3" fillId="6" borderId="1" xfId="0" applyNumberFormat="1" applyFont="1" applyFill="1" applyBorder="1" applyAlignment="1">
      <alignment horizontal="left"/>
    </xf>
    <xf numFmtId="9" fontId="0" fillId="0" borderId="0" xfId="1" applyFont="1" applyAlignment="1">
      <alignment horizontal="center"/>
    </xf>
    <xf numFmtId="9" fontId="8" fillId="0" borderId="0" xfId="1" applyNumberFormat="1" applyFont="1" applyAlignment="1">
      <alignment horizontal="center"/>
    </xf>
    <xf numFmtId="0" fontId="2" fillId="3" borderId="0" xfId="0" applyFont="1" applyFill="1" applyAlignment="1">
      <alignment horizontal="center"/>
    </xf>
    <xf numFmtId="165" fontId="3" fillId="6" borderId="2" xfId="0" applyNumberFormat="1" applyFont="1" applyFill="1" applyBorder="1" applyAlignment="1">
      <alignment horizontal="left"/>
    </xf>
    <xf numFmtId="0" fontId="0" fillId="0" borderId="1" xfId="0" applyBorder="1" applyAlignment="1">
      <alignment horizontal="left"/>
    </xf>
    <xf numFmtId="2" fontId="0" fillId="0" borderId="1" xfId="0" applyNumberFormat="1" applyBorder="1" applyAlignment="1">
      <alignment horizontal="center" vertical="center"/>
    </xf>
    <xf numFmtId="9" fontId="2" fillId="3" borderId="0" xfId="1" applyFont="1" applyFill="1"/>
    <xf numFmtId="1" fontId="0" fillId="0" borderId="1" xfId="0" applyNumberFormat="1" applyBorder="1" applyAlignment="1">
      <alignment horizontal="center"/>
    </xf>
    <xf numFmtId="165" fontId="3" fillId="6" borderId="2" xfId="0" applyNumberFormat="1" applyFont="1" applyFill="1" applyBorder="1" applyAlignment="1">
      <alignment horizontal="center"/>
    </xf>
    <xf numFmtId="9" fontId="2" fillId="3" borderId="0" xfId="1" applyFont="1" applyFill="1" applyAlignment="1">
      <alignment horizontal="center"/>
    </xf>
    <xf numFmtId="165" fontId="3" fillId="6" borderId="2" xfId="0" applyNumberFormat="1" applyFont="1" applyFill="1" applyBorder="1" applyAlignment="1">
      <alignment horizontal="center"/>
    </xf>
    <xf numFmtId="165" fontId="3" fillId="6" borderId="3" xfId="0" applyNumberFormat="1" applyFont="1" applyFill="1" applyBorder="1" applyAlignment="1">
      <alignment horizontal="center"/>
    </xf>
    <xf numFmtId="165" fontId="3" fillId="2" borderId="2" xfId="0" applyNumberFormat="1" applyFont="1" applyFill="1" applyBorder="1" applyAlignment="1">
      <alignment horizontal="center"/>
    </xf>
    <xf numFmtId="0" fontId="3" fillId="2" borderId="0" xfId="0" applyFont="1" applyFill="1"/>
    <xf numFmtId="9" fontId="3" fillId="2" borderId="1" xfId="0" applyNumberFormat="1" applyFont="1" applyFill="1" applyBorder="1"/>
    <xf numFmtId="10" fontId="3" fillId="5" borderId="0" xfId="0" applyNumberFormat="1" applyFont="1" applyFill="1"/>
    <xf numFmtId="166" fontId="5" fillId="7" borderId="2" xfId="2" applyFont="1" applyFill="1" applyBorder="1" applyAlignment="1">
      <alignment vertical="center"/>
    </xf>
    <xf numFmtId="166" fontId="10" fillId="7" borderId="2" xfId="2" applyFont="1" applyFill="1" applyBorder="1" applyAlignment="1">
      <alignment vertical="center"/>
    </xf>
    <xf numFmtId="166" fontId="5" fillId="7" borderId="4" xfId="2" applyFont="1" applyFill="1" applyBorder="1" applyAlignment="1">
      <alignment horizontal="left" vertical="center"/>
    </xf>
    <xf numFmtId="166" fontId="10" fillId="7" borderId="4" xfId="2" applyFont="1" applyFill="1" applyBorder="1" applyAlignment="1">
      <alignment horizontal="left" vertical="center"/>
    </xf>
    <xf numFmtId="2" fontId="0" fillId="0" borderId="0" xfId="0" applyNumberFormat="1" applyFill="1" applyBorder="1"/>
    <xf numFmtId="0" fontId="5" fillId="0" borderId="1" xfId="0" applyFont="1" applyFill="1" applyBorder="1"/>
    <xf numFmtId="167" fontId="0" fillId="0" borderId="1" xfId="0" applyNumberFormat="1" applyBorder="1" applyAlignment="1">
      <alignment horizontal="center"/>
    </xf>
    <xf numFmtId="165" fontId="3" fillId="0" borderId="1" xfId="0" applyNumberFormat="1" applyFont="1" applyFill="1" applyBorder="1" applyAlignment="1">
      <alignment horizontal="center"/>
    </xf>
    <xf numFmtId="9" fontId="0" fillId="0" borderId="1" xfId="0" applyNumberFormat="1" applyBorder="1" applyAlignment="1">
      <alignment horizontal="center"/>
    </xf>
    <xf numFmtId="9" fontId="0" fillId="0" borderId="1" xfId="1" applyFont="1" applyBorder="1" applyAlignment="1">
      <alignment horizontal="center"/>
    </xf>
    <xf numFmtId="0" fontId="0" fillId="0" borderId="1" xfId="0" applyBorder="1" applyAlignment="1">
      <alignment horizontal="right"/>
    </xf>
    <xf numFmtId="0" fontId="0" fillId="0" borderId="1" xfId="0" applyBorder="1" applyAlignment="1"/>
    <xf numFmtId="0" fontId="0" fillId="0" borderId="5" xfId="0" applyFill="1" applyBorder="1" applyAlignment="1"/>
    <xf numFmtId="2" fontId="0" fillId="5" borderId="1" xfId="0" applyNumberFormat="1" applyFill="1" applyBorder="1" applyAlignment="1">
      <alignment horizontal="center"/>
    </xf>
    <xf numFmtId="2" fontId="0" fillId="0" borderId="1" xfId="0" applyNumberFormat="1" applyFill="1" applyBorder="1" applyAlignment="1">
      <alignment horizontal="center"/>
    </xf>
    <xf numFmtId="0" fontId="13" fillId="4" borderId="0" xfId="0" applyFont="1" applyFill="1"/>
    <xf numFmtId="0" fontId="6" fillId="0" borderId="1" xfId="0" applyFont="1" applyBorder="1"/>
    <xf numFmtId="165" fontId="3" fillId="6" borderId="3" xfId="0" applyNumberFormat="1" applyFont="1" applyFill="1" applyBorder="1" applyAlignment="1"/>
    <xf numFmtId="165" fontId="3" fillId="6" borderId="2" xfId="0" applyNumberFormat="1" applyFont="1" applyFill="1" applyBorder="1" applyAlignment="1"/>
    <xf numFmtId="0" fontId="0" fillId="0" borderId="1" xfId="0" applyFont="1" applyBorder="1" applyAlignment="1">
      <alignment horizontal="center"/>
    </xf>
    <xf numFmtId="0" fontId="0" fillId="0" borderId="1" xfId="0" applyFill="1" applyBorder="1"/>
    <xf numFmtId="165" fontId="0" fillId="0" borderId="0" xfId="0" applyNumberFormat="1"/>
    <xf numFmtId="2" fontId="0" fillId="0" borderId="0" xfId="0" applyNumberFormat="1" applyFill="1"/>
    <xf numFmtId="167" fontId="0" fillId="0" borderId="0" xfId="1" applyNumberFormat="1" applyFont="1"/>
    <xf numFmtId="10" fontId="0" fillId="0" borderId="0" xfId="1" applyNumberFormat="1" applyFont="1"/>
    <xf numFmtId="10" fontId="0" fillId="0" borderId="0" xfId="1" applyNumberFormat="1" applyFont="1" applyFill="1"/>
    <xf numFmtId="167" fontId="0" fillId="0" borderId="0" xfId="0" applyNumberFormat="1"/>
    <xf numFmtId="2" fontId="3" fillId="6" borderId="1" xfId="0" applyNumberFormat="1" applyFont="1" applyFill="1" applyBorder="1" applyAlignment="1">
      <alignment horizontal="center"/>
    </xf>
    <xf numFmtId="2" fontId="3" fillId="7" borderId="1" xfId="0" applyNumberFormat="1" applyFont="1" applyFill="1" applyBorder="1" applyAlignment="1">
      <alignment horizontal="center"/>
    </xf>
    <xf numFmtId="165" fontId="2" fillId="3" borderId="1" xfId="0" applyNumberFormat="1" applyFont="1" applyFill="1" applyBorder="1" applyAlignment="1">
      <alignment horizontal="center"/>
    </xf>
    <xf numFmtId="10" fontId="0" fillId="0" borderId="1" xfId="1" applyNumberFormat="1" applyFont="1" applyBorder="1" applyAlignment="1">
      <alignment horizontal="center"/>
    </xf>
    <xf numFmtId="168" fontId="0" fillId="0" borderId="0" xfId="0" applyNumberFormat="1"/>
    <xf numFmtId="165" fontId="3" fillId="6" borderId="2" xfId="0" applyNumberFormat="1" applyFont="1" applyFill="1" applyBorder="1" applyAlignment="1">
      <alignment horizontal="center"/>
    </xf>
    <xf numFmtId="0" fontId="2" fillId="3" borderId="0" xfId="0" applyFont="1" applyFill="1" applyAlignment="1">
      <alignment horizontal="center" vertical="center"/>
    </xf>
    <xf numFmtId="15" fontId="0" fillId="0" borderId="0" xfId="0" applyNumberFormat="1"/>
    <xf numFmtId="165" fontId="3" fillId="2" borderId="2" xfId="0" applyNumberFormat="1" applyFont="1" applyFill="1" applyBorder="1" applyAlignment="1">
      <alignment horizontal="center"/>
    </xf>
    <xf numFmtId="169" fontId="0" fillId="0" borderId="1" xfId="3" applyNumberFormat="1" applyFont="1" applyBorder="1" applyAlignment="1">
      <alignment horizontal="center"/>
    </xf>
    <xf numFmtId="43" fontId="0" fillId="0" borderId="0" xfId="0" applyNumberFormat="1"/>
    <xf numFmtId="0" fontId="7" fillId="0" borderId="5" xfId="0" applyFont="1" applyFill="1" applyBorder="1" applyAlignment="1">
      <alignment vertical="center"/>
    </xf>
    <xf numFmtId="10" fontId="3" fillId="2" borderId="1" xfId="1" applyNumberFormat="1" applyFont="1" applyFill="1" applyBorder="1"/>
    <xf numFmtId="0" fontId="3" fillId="5" borderId="0" xfId="0" applyFont="1" applyFill="1" applyAlignment="1">
      <alignment horizontal="center"/>
    </xf>
    <xf numFmtId="15" fontId="3" fillId="5" borderId="0" xfId="0" applyNumberFormat="1" applyFont="1" applyFill="1"/>
    <xf numFmtId="8" fontId="0" fillId="0" borderId="0" xfId="0" applyNumberFormat="1"/>
    <xf numFmtId="165" fontId="3" fillId="6" borderId="4" xfId="0" applyNumberFormat="1" applyFont="1" applyFill="1" applyBorder="1"/>
    <xf numFmtId="165" fontId="0" fillId="0" borderId="0" xfId="0" applyNumberFormat="1" applyBorder="1"/>
    <xf numFmtId="165" fontId="3" fillId="6" borderId="0" xfId="0" applyNumberFormat="1" applyFont="1" applyFill="1" applyBorder="1"/>
    <xf numFmtId="0" fontId="13" fillId="4" borderId="0" xfId="0" applyFont="1" applyFill="1" applyAlignment="1">
      <alignment vertical="center"/>
    </xf>
    <xf numFmtId="0" fontId="0" fillId="0" borderId="0" xfId="0" applyAlignment="1">
      <alignment wrapText="1"/>
    </xf>
    <xf numFmtId="2" fontId="0" fillId="0" borderId="0" xfId="0" applyNumberFormat="1" applyAlignment="1">
      <alignment horizontal="center" vertical="center"/>
    </xf>
    <xf numFmtId="0" fontId="0" fillId="0" borderId="0" xfId="0" applyAlignment="1">
      <alignment horizontal="center" vertical="center"/>
    </xf>
    <xf numFmtId="2" fontId="3" fillId="0" borderId="3" xfId="0" applyNumberFormat="1" applyFont="1" applyBorder="1" applyAlignment="1">
      <alignment horizontal="center" vertical="center"/>
    </xf>
    <xf numFmtId="0" fontId="3" fillId="0" borderId="3" xfId="0" applyFont="1" applyBorder="1" applyAlignment="1">
      <alignment vertical="center"/>
    </xf>
    <xf numFmtId="0" fontId="3" fillId="0" borderId="0" xfId="0" applyFont="1" applyAlignment="1">
      <alignment horizontal="center" vertical="center"/>
    </xf>
    <xf numFmtId="0" fontId="3" fillId="0" borderId="0" xfId="0" applyFont="1" applyAlignment="1"/>
    <xf numFmtId="2" fontId="3" fillId="0" borderId="0" xfId="0" applyNumberFormat="1" applyFont="1" applyAlignment="1">
      <alignment horizontal="center" vertical="center"/>
    </xf>
    <xf numFmtId="9" fontId="0" fillId="0" borderId="0" xfId="1" applyFont="1" applyAlignment="1">
      <alignment horizontal="center" vertical="center"/>
    </xf>
    <xf numFmtId="10" fontId="0" fillId="0" borderId="0" xfId="1" applyNumberFormat="1" applyFont="1" applyAlignment="1">
      <alignment horizontal="center" vertical="center"/>
    </xf>
    <xf numFmtId="0" fontId="3" fillId="2" borderId="1" xfId="0" applyFont="1" applyFill="1" applyBorder="1" applyAlignment="1">
      <alignment horizontal="center"/>
    </xf>
    <xf numFmtId="166" fontId="5" fillId="7" borderId="4" xfId="2" applyFont="1" applyFill="1" applyBorder="1" applyAlignment="1">
      <alignment horizontal="left" vertical="center"/>
    </xf>
    <xf numFmtId="166" fontId="5" fillId="7" borderId="2" xfId="2" applyFont="1" applyFill="1" applyBorder="1" applyAlignment="1">
      <alignment horizontal="left" vertical="center"/>
    </xf>
    <xf numFmtId="0" fontId="3" fillId="2" borderId="4" xfId="0" applyFont="1" applyFill="1" applyBorder="1" applyAlignment="1">
      <alignment horizontal="left"/>
    </xf>
    <xf numFmtId="0" fontId="3" fillId="2" borderId="2" xfId="0" applyFont="1" applyFill="1" applyBorder="1" applyAlignment="1">
      <alignment horizontal="left"/>
    </xf>
    <xf numFmtId="165" fontId="3" fillId="6" borderId="3" xfId="0" applyNumberFormat="1" applyFont="1" applyFill="1" applyBorder="1" applyAlignment="1">
      <alignment horizontal="center"/>
    </xf>
    <xf numFmtId="165" fontId="3" fillId="6" borderId="2" xfId="0" applyNumberFormat="1" applyFont="1" applyFill="1" applyBorder="1" applyAlignment="1">
      <alignment horizontal="center"/>
    </xf>
    <xf numFmtId="0" fontId="3" fillId="7" borderId="4" xfId="0" applyFont="1" applyFill="1" applyBorder="1" applyAlignment="1">
      <alignment horizontal="left"/>
    </xf>
    <xf numFmtId="0" fontId="3" fillId="7" borderId="2" xfId="0" applyFont="1" applyFill="1" applyBorder="1" applyAlignment="1">
      <alignment horizontal="left"/>
    </xf>
    <xf numFmtId="165" fontId="3" fillId="2" borderId="3" xfId="0" applyNumberFormat="1" applyFont="1" applyFill="1" applyBorder="1" applyAlignment="1">
      <alignment horizontal="center"/>
    </xf>
    <xf numFmtId="165" fontId="3" fillId="2" borderId="2" xfId="0" applyNumberFormat="1" applyFont="1" applyFill="1" applyBorder="1" applyAlignment="1">
      <alignment horizontal="center"/>
    </xf>
  </cellXfs>
  <cellStyles count="4">
    <cellStyle name="Comma" xfId="3" builtinId="3"/>
    <cellStyle name="Migliaia 6" xfId="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solidFill>
                  <a:schemeClr val="bg1"/>
                </a:solidFill>
              </a:rPr>
              <a:t>EBITDA Margin %</a:t>
            </a:r>
          </a:p>
        </c:rich>
      </c:tx>
      <c:overlay val="0"/>
      <c:spPr>
        <a:solidFill>
          <a:srgbClr val="002060"/>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'P&amp;L (Hist)'!$I$23</c:f>
              <c:strCache>
                <c:ptCount val="1"/>
                <c:pt idx="0">
                  <c:v>EBITDA Margin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2"/>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cat>
            <c:numRef>
              <c:f>'P&amp;L (Hist)'!$J$3:$M$3</c:f>
              <c:numCache>
                <c:formatCode>"FY"\ 0\ "A"</c:formatCode>
                <c:ptCount val="4"/>
                <c:pt idx="0">
                  <c:v>2019</c:v>
                </c:pt>
                <c:pt idx="1">
                  <c:v>2020</c:v>
                </c:pt>
                <c:pt idx="2">
                  <c:v>2021</c:v>
                </c:pt>
                <c:pt idx="3">
                  <c:v>2022</c:v>
                </c:pt>
              </c:numCache>
            </c:numRef>
          </c:cat>
          <c:val>
            <c:numRef>
              <c:f>'P&amp;L (Hist)'!$J$23:$M$23</c:f>
              <c:numCache>
                <c:formatCode>0.00%</c:formatCode>
                <c:ptCount val="4"/>
                <c:pt idx="0">
                  <c:v>5.0313093912814591E-2</c:v>
                </c:pt>
                <c:pt idx="1">
                  <c:v>5.6465690615529904E-2</c:v>
                </c:pt>
                <c:pt idx="2">
                  <c:v>0.11011095890476677</c:v>
                </c:pt>
                <c:pt idx="3">
                  <c:v>0.11133633264025199</c:v>
                </c:pt>
              </c:numCache>
            </c:numRef>
          </c:val>
        </c:ser>
        <c:dLbls>
          <c:dLblPos val="outEnd"/>
          <c:showLegendKey val="0"/>
          <c:showVal val="1"/>
          <c:showCatName val="0"/>
          <c:showSerName val="0"/>
          <c:showPercent val="0"/>
          <c:showBubbleSize val="0"/>
        </c:dLbls>
        <c:gapWidth val="219"/>
        <c:overlap val="-27"/>
        <c:axId val="426827456"/>
        <c:axId val="426827848"/>
      </c:barChart>
      <c:catAx>
        <c:axId val="4268274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N" b="1">
                    <a:solidFill>
                      <a:sysClr val="windowText" lastClr="000000"/>
                    </a:solidFill>
                  </a:rPr>
                  <a:t>Financial</a:t>
                </a:r>
                <a:r>
                  <a:rPr lang="en-IN" b="1" baseline="0">
                    <a:solidFill>
                      <a:sysClr val="windowText" lastClr="000000"/>
                    </a:solidFill>
                  </a:rPr>
                  <a:t> Years</a:t>
                </a:r>
                <a:endParaRPr lang="en-IN" b="1">
                  <a:solidFill>
                    <a:sysClr val="windowText" lastClr="000000"/>
                  </a:solidFill>
                </a:endParaRP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quot;FY&quot;\ 0\ &quot;A&quot;"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6827848"/>
        <c:crosses val="autoZero"/>
        <c:auto val="1"/>
        <c:lblAlgn val="ctr"/>
        <c:lblOffset val="100"/>
        <c:noMultiLvlLbl val="0"/>
      </c:catAx>
      <c:valAx>
        <c:axId val="4268278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N" b="1">
                    <a:solidFill>
                      <a:sysClr val="windowText" lastClr="000000"/>
                    </a:solidFill>
                  </a:rPr>
                  <a: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68274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solidFill>
                  <a:schemeClr val="bg1"/>
                </a:solidFill>
              </a:rPr>
              <a:t>EBIT Margin %</a:t>
            </a:r>
          </a:p>
        </c:rich>
      </c:tx>
      <c:overlay val="0"/>
      <c:spPr>
        <a:solidFill>
          <a:srgbClr val="002060"/>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'P&amp;L (Hist)'!$I$24</c:f>
              <c:strCache>
                <c:ptCount val="1"/>
                <c:pt idx="0">
                  <c:v>EBIT Margin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2"/>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cat>
            <c:numRef>
              <c:f>'P&amp;L (Hist)'!$J$3:$M$3</c:f>
              <c:numCache>
                <c:formatCode>"FY"\ 0\ "A"</c:formatCode>
                <c:ptCount val="4"/>
                <c:pt idx="0">
                  <c:v>2019</c:v>
                </c:pt>
                <c:pt idx="1">
                  <c:v>2020</c:v>
                </c:pt>
                <c:pt idx="2">
                  <c:v>2021</c:v>
                </c:pt>
                <c:pt idx="3">
                  <c:v>2022</c:v>
                </c:pt>
              </c:numCache>
            </c:numRef>
          </c:cat>
          <c:val>
            <c:numRef>
              <c:f>'P&amp;L (Hist)'!$J$24:$M$24</c:f>
              <c:numCache>
                <c:formatCode>0.00%</c:formatCode>
                <c:ptCount val="4"/>
                <c:pt idx="0">
                  <c:v>3.8201725087012396E-2</c:v>
                </c:pt>
                <c:pt idx="1">
                  <c:v>1.7028276713658686E-2</c:v>
                </c:pt>
                <c:pt idx="2">
                  <c:v>3.3046543321431018E-2</c:v>
                </c:pt>
                <c:pt idx="3">
                  <c:v>3.0479100014266413E-2</c:v>
                </c:pt>
              </c:numCache>
            </c:numRef>
          </c:val>
        </c:ser>
        <c:dLbls>
          <c:dLblPos val="outEnd"/>
          <c:showLegendKey val="0"/>
          <c:showVal val="1"/>
          <c:showCatName val="0"/>
          <c:showSerName val="0"/>
          <c:showPercent val="0"/>
          <c:showBubbleSize val="0"/>
        </c:dLbls>
        <c:gapWidth val="219"/>
        <c:overlap val="-27"/>
        <c:axId val="426829024"/>
        <c:axId val="427377808"/>
      </c:barChart>
      <c:catAx>
        <c:axId val="42682902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N" b="1">
                    <a:solidFill>
                      <a:sysClr val="windowText" lastClr="000000"/>
                    </a:solidFill>
                  </a:rPr>
                  <a:t>Financial</a:t>
                </a:r>
                <a:r>
                  <a:rPr lang="en-IN" b="1" baseline="0">
                    <a:solidFill>
                      <a:sysClr val="windowText" lastClr="000000"/>
                    </a:solidFill>
                  </a:rPr>
                  <a:t> Years</a:t>
                </a:r>
                <a:endParaRPr lang="en-IN" b="1">
                  <a:solidFill>
                    <a:sysClr val="windowText" lastClr="000000"/>
                  </a:solidFill>
                </a:endParaRP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quot;FY&quot;\ 0\ &quot;A&quot;"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7377808"/>
        <c:crosses val="autoZero"/>
        <c:auto val="1"/>
        <c:lblAlgn val="ctr"/>
        <c:lblOffset val="100"/>
        <c:noMultiLvlLbl val="0"/>
      </c:catAx>
      <c:valAx>
        <c:axId val="4273778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N" b="1">
                    <a:solidFill>
                      <a:sysClr val="windowText" lastClr="000000"/>
                    </a:solidFill>
                  </a:rPr>
                  <a: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68290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solidFill>
                  <a:schemeClr val="bg1"/>
                </a:solidFill>
              </a:rPr>
              <a:t>Net</a:t>
            </a:r>
            <a:r>
              <a:rPr lang="en-US" b="1" baseline="0">
                <a:solidFill>
                  <a:schemeClr val="bg1"/>
                </a:solidFill>
              </a:rPr>
              <a:t> Profit</a:t>
            </a:r>
            <a:r>
              <a:rPr lang="en-US" b="1">
                <a:solidFill>
                  <a:schemeClr val="bg1"/>
                </a:solidFill>
              </a:rPr>
              <a:t> Margin %</a:t>
            </a:r>
          </a:p>
        </c:rich>
      </c:tx>
      <c:overlay val="0"/>
      <c:spPr>
        <a:solidFill>
          <a:srgbClr val="002060"/>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'P&amp;L (Hist)'!$I$25</c:f>
              <c:strCache>
                <c:ptCount val="1"/>
                <c:pt idx="0">
                  <c:v>Net Profit Margin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2"/>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cat>
            <c:numRef>
              <c:f>'P&amp;L (Hist)'!$J$3:$M$3</c:f>
              <c:numCache>
                <c:formatCode>"FY"\ 0\ "A"</c:formatCode>
                <c:ptCount val="4"/>
                <c:pt idx="0">
                  <c:v>2019</c:v>
                </c:pt>
                <c:pt idx="1">
                  <c:v>2020</c:v>
                </c:pt>
                <c:pt idx="2">
                  <c:v>2021</c:v>
                </c:pt>
                <c:pt idx="3">
                  <c:v>2022</c:v>
                </c:pt>
              </c:numCache>
            </c:numRef>
          </c:cat>
          <c:val>
            <c:numRef>
              <c:f>'P&amp;L (Hist)'!$J$25:$M$25</c:f>
              <c:numCache>
                <c:formatCode>0.00%</c:formatCode>
                <c:ptCount val="4"/>
                <c:pt idx="0">
                  <c:v>2.8787678811378881E-2</c:v>
                </c:pt>
                <c:pt idx="1">
                  <c:v>1.2600926269448471E-2</c:v>
                </c:pt>
                <c:pt idx="2">
                  <c:v>2.1453845793457833E-2</c:v>
                </c:pt>
                <c:pt idx="3">
                  <c:v>2.316738555844583E-2</c:v>
                </c:pt>
              </c:numCache>
            </c:numRef>
          </c:val>
        </c:ser>
        <c:dLbls>
          <c:dLblPos val="outEnd"/>
          <c:showLegendKey val="0"/>
          <c:showVal val="1"/>
          <c:showCatName val="0"/>
          <c:showSerName val="0"/>
          <c:showPercent val="0"/>
          <c:showBubbleSize val="0"/>
        </c:dLbls>
        <c:gapWidth val="219"/>
        <c:overlap val="-27"/>
        <c:axId val="427377024"/>
        <c:axId val="427379376"/>
      </c:barChart>
      <c:catAx>
        <c:axId val="42737702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N" b="1">
                    <a:solidFill>
                      <a:sysClr val="windowText" lastClr="000000"/>
                    </a:solidFill>
                  </a:rPr>
                  <a:t>Financial</a:t>
                </a:r>
                <a:r>
                  <a:rPr lang="en-IN" b="1" baseline="0">
                    <a:solidFill>
                      <a:sysClr val="windowText" lastClr="000000"/>
                    </a:solidFill>
                  </a:rPr>
                  <a:t> Years</a:t>
                </a:r>
                <a:endParaRPr lang="en-IN" b="1">
                  <a:solidFill>
                    <a:sysClr val="windowText" lastClr="000000"/>
                  </a:solidFill>
                </a:endParaRP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quot;FY&quot;\ 0\ &quot;A&quot;"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7379376"/>
        <c:crosses val="autoZero"/>
        <c:auto val="1"/>
        <c:lblAlgn val="ctr"/>
        <c:lblOffset val="100"/>
        <c:noMultiLvlLbl val="0"/>
      </c:catAx>
      <c:valAx>
        <c:axId val="4273793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N" b="1">
                    <a:solidFill>
                      <a:sysClr val="windowText" lastClr="000000"/>
                    </a:solidFill>
                  </a:rPr>
                  <a: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73770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solidFill>
                  <a:schemeClr val="bg1"/>
                </a:solidFill>
              </a:rPr>
              <a:t>Revenue</a:t>
            </a:r>
            <a:r>
              <a:rPr lang="en-US" b="1" baseline="0">
                <a:solidFill>
                  <a:schemeClr val="bg1"/>
                </a:solidFill>
              </a:rPr>
              <a:t> Growth</a:t>
            </a:r>
            <a:r>
              <a:rPr lang="en-US" b="1">
                <a:solidFill>
                  <a:schemeClr val="bg1"/>
                </a:solidFill>
              </a:rPr>
              <a:t> % (Y.O.Y.)</a:t>
            </a:r>
          </a:p>
        </c:rich>
      </c:tx>
      <c:overlay val="0"/>
      <c:spPr>
        <a:solidFill>
          <a:srgbClr val="002060"/>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'P&amp;L (Hist)'!$I$26</c:f>
              <c:strCache>
                <c:ptCount val="1"/>
                <c:pt idx="0">
                  <c:v>Revenue Growth % (Y.O.Y.)</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2"/>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cat>
            <c:numRef>
              <c:f>'P&amp;L (Hist)'!$J$3:$M$3</c:f>
              <c:numCache>
                <c:formatCode>"FY"\ 0\ "A"</c:formatCode>
                <c:ptCount val="4"/>
                <c:pt idx="0">
                  <c:v>2019</c:v>
                </c:pt>
                <c:pt idx="1">
                  <c:v>2020</c:v>
                </c:pt>
                <c:pt idx="2">
                  <c:v>2021</c:v>
                </c:pt>
                <c:pt idx="3">
                  <c:v>2022</c:v>
                </c:pt>
              </c:numCache>
            </c:numRef>
          </c:cat>
          <c:val>
            <c:numRef>
              <c:f>'P&amp;L (Hist)'!$J$26:$M$26</c:f>
              <c:numCache>
                <c:formatCode>0.00%</c:formatCode>
                <c:ptCount val="4"/>
                <c:pt idx="1">
                  <c:v>0.25290169512281424</c:v>
                </c:pt>
                <c:pt idx="2">
                  <c:v>0.30406836541555582</c:v>
                </c:pt>
                <c:pt idx="3">
                  <c:v>0.27154630754994824</c:v>
                </c:pt>
              </c:numCache>
            </c:numRef>
          </c:val>
        </c:ser>
        <c:dLbls>
          <c:dLblPos val="outEnd"/>
          <c:showLegendKey val="0"/>
          <c:showVal val="1"/>
          <c:showCatName val="0"/>
          <c:showSerName val="0"/>
          <c:showPercent val="0"/>
          <c:showBubbleSize val="0"/>
        </c:dLbls>
        <c:gapWidth val="219"/>
        <c:overlap val="-27"/>
        <c:axId val="427378200"/>
        <c:axId val="396844976"/>
      </c:barChart>
      <c:catAx>
        <c:axId val="4273782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N" b="1">
                    <a:solidFill>
                      <a:sysClr val="windowText" lastClr="000000"/>
                    </a:solidFill>
                  </a:rPr>
                  <a:t>Financial</a:t>
                </a:r>
                <a:r>
                  <a:rPr lang="en-IN" b="1" baseline="0">
                    <a:solidFill>
                      <a:sysClr val="windowText" lastClr="000000"/>
                    </a:solidFill>
                  </a:rPr>
                  <a:t> Years</a:t>
                </a:r>
                <a:endParaRPr lang="en-IN" b="1">
                  <a:solidFill>
                    <a:sysClr val="windowText" lastClr="000000"/>
                  </a:solidFill>
                </a:endParaRP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quot;FY&quot;\ 0\ &quot;A&quot;"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6844976"/>
        <c:crosses val="autoZero"/>
        <c:auto val="1"/>
        <c:lblAlgn val="ctr"/>
        <c:lblOffset val="100"/>
        <c:noMultiLvlLbl val="0"/>
      </c:catAx>
      <c:valAx>
        <c:axId val="396844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N" b="1">
                    <a:solidFill>
                      <a:sysClr val="windowText" lastClr="000000"/>
                    </a:solidFill>
                  </a:rPr>
                  <a: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73782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N" b="1">
                <a:solidFill>
                  <a:schemeClr val="bg1"/>
                </a:solidFill>
              </a:rPr>
              <a:t>EBITDA Margin</a:t>
            </a:r>
          </a:p>
        </c:rich>
      </c:tx>
      <c:layout>
        <c:manualLayout>
          <c:xMode val="edge"/>
          <c:yMode val="edge"/>
          <c:x val="0.41227077865266848"/>
          <c:y val="2.7777777777777776E-2"/>
        </c:manualLayout>
      </c:layout>
      <c:overlay val="0"/>
      <c:spPr>
        <a:solidFill>
          <a:srgbClr val="002060"/>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2"/>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cat>
            <c:strRef>
              <c:f>PL!$Q$3:$W$3</c:f>
              <c:strCache>
                <c:ptCount val="7"/>
                <c:pt idx="0">
                  <c:v>2023-24</c:v>
                </c:pt>
                <c:pt idx="1">
                  <c:v>2024-25</c:v>
                </c:pt>
                <c:pt idx="2">
                  <c:v>2025-26</c:v>
                </c:pt>
                <c:pt idx="3">
                  <c:v>2026-27</c:v>
                </c:pt>
                <c:pt idx="4">
                  <c:v>2027-28</c:v>
                </c:pt>
                <c:pt idx="5">
                  <c:v>2028-29</c:v>
                </c:pt>
                <c:pt idx="6">
                  <c:v>2029-30</c:v>
                </c:pt>
              </c:strCache>
            </c:strRef>
          </c:cat>
          <c:val>
            <c:numRef>
              <c:f>PL!$Q$25:$W$25</c:f>
              <c:numCache>
                <c:formatCode>0.00%</c:formatCode>
                <c:ptCount val="7"/>
                <c:pt idx="0">
                  <c:v>0.14069369441620558</c:v>
                </c:pt>
                <c:pt idx="1">
                  <c:v>0.22335963939986456</c:v>
                </c:pt>
                <c:pt idx="2">
                  <c:v>0.23086098786444612</c:v>
                </c:pt>
                <c:pt idx="3">
                  <c:v>0.23024508788458745</c:v>
                </c:pt>
                <c:pt idx="4">
                  <c:v>0.27598867452295017</c:v>
                </c:pt>
                <c:pt idx="5">
                  <c:v>0.30370966963003104</c:v>
                </c:pt>
                <c:pt idx="6">
                  <c:v>0.32866147946939456</c:v>
                </c:pt>
              </c:numCache>
            </c:numRef>
          </c:val>
        </c:ser>
        <c:dLbls>
          <c:dLblPos val="outEnd"/>
          <c:showLegendKey val="0"/>
          <c:showVal val="1"/>
          <c:showCatName val="0"/>
          <c:showSerName val="0"/>
          <c:showPercent val="0"/>
          <c:showBubbleSize val="0"/>
        </c:dLbls>
        <c:gapWidth val="219"/>
        <c:overlap val="-27"/>
        <c:axId val="396846936"/>
        <c:axId val="396847328"/>
      </c:barChart>
      <c:catAx>
        <c:axId val="39684693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N" b="1">
                    <a:solidFill>
                      <a:sysClr val="windowText" lastClr="000000"/>
                    </a:solidFill>
                  </a:rPr>
                  <a:t>Financial</a:t>
                </a:r>
                <a:r>
                  <a:rPr lang="en-IN" b="1" baseline="0">
                    <a:solidFill>
                      <a:sysClr val="windowText" lastClr="000000"/>
                    </a:solidFill>
                  </a:rPr>
                  <a:t> Years</a:t>
                </a:r>
                <a:endParaRPr lang="en-IN" b="1">
                  <a:solidFill>
                    <a:sysClr val="windowText" lastClr="000000"/>
                  </a:solidFill>
                </a:endParaRP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6847328"/>
        <c:crosses val="autoZero"/>
        <c:auto val="1"/>
        <c:lblAlgn val="ctr"/>
        <c:lblOffset val="100"/>
        <c:noMultiLvlLbl val="0"/>
      </c:catAx>
      <c:valAx>
        <c:axId val="3968473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N" b="1">
                    <a:solidFill>
                      <a:sysClr val="windowText" lastClr="000000"/>
                    </a:solidFill>
                  </a:rPr>
                  <a: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6846936"/>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N" b="1">
                <a:solidFill>
                  <a:schemeClr val="bg1"/>
                </a:solidFill>
              </a:rPr>
              <a:t>EBIT Margin</a:t>
            </a:r>
          </a:p>
        </c:rich>
      </c:tx>
      <c:layout>
        <c:manualLayout>
          <c:xMode val="edge"/>
          <c:yMode val="edge"/>
          <c:x val="0.41227077865266848"/>
          <c:y val="2.7777777777777776E-2"/>
        </c:manualLayout>
      </c:layout>
      <c:overlay val="0"/>
      <c:spPr>
        <a:solidFill>
          <a:srgbClr val="002060"/>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2"/>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cat>
            <c:strRef>
              <c:f>PL!$Q$3:$W$3</c:f>
              <c:strCache>
                <c:ptCount val="7"/>
                <c:pt idx="0">
                  <c:v>2023-24</c:v>
                </c:pt>
                <c:pt idx="1">
                  <c:v>2024-25</c:v>
                </c:pt>
                <c:pt idx="2">
                  <c:v>2025-26</c:v>
                </c:pt>
                <c:pt idx="3">
                  <c:v>2026-27</c:v>
                </c:pt>
                <c:pt idx="4">
                  <c:v>2027-28</c:v>
                </c:pt>
                <c:pt idx="5">
                  <c:v>2028-29</c:v>
                </c:pt>
                <c:pt idx="6">
                  <c:v>2029-30</c:v>
                </c:pt>
              </c:strCache>
            </c:strRef>
          </c:cat>
          <c:val>
            <c:numRef>
              <c:f>PL!$Q$26:$W$26</c:f>
              <c:numCache>
                <c:formatCode>0.00%</c:formatCode>
                <c:ptCount val="7"/>
                <c:pt idx="0">
                  <c:v>2.0050346900611353E-2</c:v>
                </c:pt>
                <c:pt idx="1">
                  <c:v>0.12686856594582427</c:v>
                </c:pt>
                <c:pt idx="2">
                  <c:v>0.14405277811265674</c:v>
                </c:pt>
                <c:pt idx="3">
                  <c:v>0.14758714488190552</c:v>
                </c:pt>
                <c:pt idx="4">
                  <c:v>0.19906554167854371</c:v>
                </c:pt>
                <c:pt idx="5">
                  <c:v>0.23024735718084494</c:v>
                </c:pt>
                <c:pt idx="6">
                  <c:v>0.25837365179177313</c:v>
                </c:pt>
              </c:numCache>
            </c:numRef>
          </c:val>
        </c:ser>
        <c:dLbls>
          <c:dLblPos val="outEnd"/>
          <c:showLegendKey val="0"/>
          <c:showVal val="1"/>
          <c:showCatName val="0"/>
          <c:showSerName val="0"/>
          <c:showPercent val="0"/>
          <c:showBubbleSize val="0"/>
        </c:dLbls>
        <c:gapWidth val="219"/>
        <c:overlap val="-27"/>
        <c:axId val="425699048"/>
        <c:axId val="425700616"/>
      </c:barChart>
      <c:catAx>
        <c:axId val="42569904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N" b="1">
                    <a:solidFill>
                      <a:sysClr val="windowText" lastClr="000000"/>
                    </a:solidFill>
                  </a:rPr>
                  <a:t>Financial</a:t>
                </a:r>
                <a:r>
                  <a:rPr lang="en-IN" b="1" baseline="0">
                    <a:solidFill>
                      <a:sysClr val="windowText" lastClr="000000"/>
                    </a:solidFill>
                  </a:rPr>
                  <a:t> Years</a:t>
                </a:r>
                <a:endParaRPr lang="en-IN" b="1">
                  <a:solidFill>
                    <a:sysClr val="windowText" lastClr="000000"/>
                  </a:solidFill>
                </a:endParaRP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5700616"/>
        <c:crosses val="autoZero"/>
        <c:auto val="1"/>
        <c:lblAlgn val="ctr"/>
        <c:lblOffset val="100"/>
        <c:noMultiLvlLbl val="0"/>
      </c:catAx>
      <c:valAx>
        <c:axId val="4257006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N" b="1">
                    <a:solidFill>
                      <a:sysClr val="windowText" lastClr="000000"/>
                    </a:solidFill>
                  </a:rPr>
                  <a: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569904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N" b="1">
                <a:solidFill>
                  <a:schemeClr val="bg1"/>
                </a:solidFill>
              </a:rPr>
              <a:t>Net</a:t>
            </a:r>
            <a:r>
              <a:rPr lang="en-IN" b="1" baseline="0">
                <a:solidFill>
                  <a:schemeClr val="bg1"/>
                </a:solidFill>
              </a:rPr>
              <a:t> Profit</a:t>
            </a:r>
            <a:r>
              <a:rPr lang="en-IN" b="1">
                <a:solidFill>
                  <a:schemeClr val="bg1"/>
                </a:solidFill>
              </a:rPr>
              <a:t> Margin</a:t>
            </a:r>
          </a:p>
        </c:rich>
      </c:tx>
      <c:layout>
        <c:manualLayout>
          <c:xMode val="edge"/>
          <c:yMode val="edge"/>
          <c:x val="0.41227077865266848"/>
          <c:y val="2.7777777777777776E-2"/>
        </c:manualLayout>
      </c:layout>
      <c:overlay val="0"/>
      <c:spPr>
        <a:solidFill>
          <a:srgbClr val="002060"/>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2"/>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cat>
            <c:strRef>
              <c:f>PL!$Q$3:$W$3</c:f>
              <c:strCache>
                <c:ptCount val="7"/>
                <c:pt idx="0">
                  <c:v>2023-24</c:v>
                </c:pt>
                <c:pt idx="1">
                  <c:v>2024-25</c:v>
                </c:pt>
                <c:pt idx="2">
                  <c:v>2025-26</c:v>
                </c:pt>
                <c:pt idx="3">
                  <c:v>2026-27</c:v>
                </c:pt>
                <c:pt idx="4">
                  <c:v>2027-28</c:v>
                </c:pt>
                <c:pt idx="5">
                  <c:v>2028-29</c:v>
                </c:pt>
                <c:pt idx="6">
                  <c:v>2029-30</c:v>
                </c:pt>
              </c:strCache>
            </c:strRef>
          </c:cat>
          <c:val>
            <c:numRef>
              <c:f>PL!$Q$27:$W$27</c:f>
              <c:numCache>
                <c:formatCode>0.00%</c:formatCode>
                <c:ptCount val="7"/>
                <c:pt idx="0">
                  <c:v>4.7711259209194044E-5</c:v>
                </c:pt>
                <c:pt idx="1">
                  <c:v>5.3355441676031089E-2</c:v>
                </c:pt>
                <c:pt idx="2">
                  <c:v>6.8539511281447071E-2</c:v>
                </c:pt>
                <c:pt idx="3">
                  <c:v>7.3189067611968889E-2</c:v>
                </c:pt>
                <c:pt idx="4">
                  <c:v>0.11238106241719176</c:v>
                </c:pt>
                <c:pt idx="5">
                  <c:v>0.1372737989000796</c:v>
                </c:pt>
                <c:pt idx="6">
                  <c:v>0.16043528348999858</c:v>
                </c:pt>
              </c:numCache>
            </c:numRef>
          </c:val>
        </c:ser>
        <c:dLbls>
          <c:dLblPos val="outEnd"/>
          <c:showLegendKey val="0"/>
          <c:showVal val="1"/>
          <c:showCatName val="0"/>
          <c:showSerName val="0"/>
          <c:showPercent val="0"/>
          <c:showBubbleSize val="0"/>
        </c:dLbls>
        <c:gapWidth val="219"/>
        <c:overlap val="-27"/>
        <c:axId val="425697480"/>
        <c:axId val="400905448"/>
      </c:barChart>
      <c:catAx>
        <c:axId val="4256974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N" b="1">
                    <a:solidFill>
                      <a:sysClr val="windowText" lastClr="000000"/>
                    </a:solidFill>
                  </a:rPr>
                  <a:t>Financial</a:t>
                </a:r>
                <a:r>
                  <a:rPr lang="en-IN" b="1" baseline="0">
                    <a:solidFill>
                      <a:sysClr val="windowText" lastClr="000000"/>
                    </a:solidFill>
                  </a:rPr>
                  <a:t> Years</a:t>
                </a:r>
                <a:endParaRPr lang="en-IN" b="1">
                  <a:solidFill>
                    <a:sysClr val="windowText" lastClr="000000"/>
                  </a:solidFill>
                </a:endParaRP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0905448"/>
        <c:crosses val="autoZero"/>
        <c:auto val="1"/>
        <c:lblAlgn val="ctr"/>
        <c:lblOffset val="100"/>
        <c:noMultiLvlLbl val="0"/>
      </c:catAx>
      <c:valAx>
        <c:axId val="4009054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N" b="1">
                    <a:solidFill>
                      <a:sysClr val="windowText" lastClr="000000"/>
                    </a:solidFill>
                  </a:rPr>
                  <a: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5697480"/>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N" b="1">
                <a:solidFill>
                  <a:schemeClr val="bg1"/>
                </a:solidFill>
              </a:rPr>
              <a:t>Revenue</a:t>
            </a:r>
            <a:r>
              <a:rPr lang="en-IN" b="1" baseline="0">
                <a:solidFill>
                  <a:schemeClr val="bg1"/>
                </a:solidFill>
              </a:rPr>
              <a:t> Growth</a:t>
            </a:r>
            <a:endParaRPr lang="en-IN" b="1">
              <a:solidFill>
                <a:schemeClr val="bg1"/>
              </a:solidFill>
            </a:endParaRPr>
          </a:p>
        </c:rich>
      </c:tx>
      <c:layout>
        <c:manualLayout>
          <c:xMode val="edge"/>
          <c:yMode val="edge"/>
          <c:x val="0.41227077865266848"/>
          <c:y val="2.7777777777777776E-2"/>
        </c:manualLayout>
      </c:layout>
      <c:overlay val="0"/>
      <c:spPr>
        <a:solidFill>
          <a:srgbClr val="002060"/>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2"/>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cat>
            <c:strRef>
              <c:f>PL!$Q$3:$W$3</c:f>
              <c:strCache>
                <c:ptCount val="7"/>
                <c:pt idx="0">
                  <c:v>2023-24</c:v>
                </c:pt>
                <c:pt idx="1">
                  <c:v>2024-25</c:v>
                </c:pt>
                <c:pt idx="2">
                  <c:v>2025-26</c:v>
                </c:pt>
                <c:pt idx="3">
                  <c:v>2026-27</c:v>
                </c:pt>
                <c:pt idx="4">
                  <c:v>2027-28</c:v>
                </c:pt>
                <c:pt idx="5">
                  <c:v>2028-29</c:v>
                </c:pt>
                <c:pt idx="6">
                  <c:v>2029-30</c:v>
                </c:pt>
              </c:strCache>
            </c:strRef>
          </c:cat>
          <c:val>
            <c:numRef>
              <c:f>PL!$Q$28:$W$28</c:f>
              <c:numCache>
                <c:formatCode>0.00%</c:formatCode>
                <c:ptCount val="7"/>
                <c:pt idx="1">
                  <c:v>0.87552618697993112</c:v>
                </c:pt>
                <c:pt idx="2">
                  <c:v>0.11154317926768842</c:v>
                </c:pt>
                <c:pt idx="3">
                  <c:v>5.0210138292127171E-2</c:v>
                </c:pt>
                <c:pt idx="4">
                  <c:v>7.4552477859622934E-2</c:v>
                </c:pt>
                <c:pt idx="5">
                  <c:v>4.7110147772903455E-2</c:v>
                </c:pt>
                <c:pt idx="6">
                  <c:v>4.5164075721966901E-2</c:v>
                </c:pt>
              </c:numCache>
            </c:numRef>
          </c:val>
        </c:ser>
        <c:dLbls>
          <c:dLblPos val="outEnd"/>
          <c:showLegendKey val="0"/>
          <c:showVal val="1"/>
          <c:showCatName val="0"/>
          <c:showSerName val="0"/>
          <c:showPercent val="0"/>
          <c:showBubbleSize val="0"/>
        </c:dLbls>
        <c:gapWidth val="219"/>
        <c:overlap val="-27"/>
        <c:axId val="397659936"/>
        <c:axId val="45101656"/>
      </c:barChart>
      <c:catAx>
        <c:axId val="39765993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N" b="1">
                    <a:solidFill>
                      <a:sysClr val="windowText" lastClr="000000"/>
                    </a:solidFill>
                  </a:rPr>
                  <a:t>Financial</a:t>
                </a:r>
                <a:r>
                  <a:rPr lang="en-IN" b="1" baseline="0">
                    <a:solidFill>
                      <a:sysClr val="windowText" lastClr="000000"/>
                    </a:solidFill>
                  </a:rPr>
                  <a:t> Years</a:t>
                </a:r>
                <a:endParaRPr lang="en-IN" b="1">
                  <a:solidFill>
                    <a:sysClr val="windowText" lastClr="000000"/>
                  </a:solidFill>
                </a:endParaRP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101656"/>
        <c:crosses val="autoZero"/>
        <c:auto val="1"/>
        <c:lblAlgn val="ctr"/>
        <c:lblOffset val="100"/>
        <c:noMultiLvlLbl val="0"/>
      </c:catAx>
      <c:valAx>
        <c:axId val="451016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N" b="1">
                    <a:solidFill>
                      <a:sysClr val="windowText" lastClr="000000"/>
                    </a:solidFill>
                  </a:rPr>
                  <a: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7659936"/>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bg1"/>
                </a:solidFill>
                <a:latin typeface="+mn-lt"/>
                <a:ea typeface="+mn-ea"/>
                <a:cs typeface="+mn-cs"/>
              </a:defRPr>
            </a:pPr>
            <a:r>
              <a:rPr lang="en-US" sz="1200" b="1">
                <a:solidFill>
                  <a:schemeClr val="bg1"/>
                </a:solidFill>
              </a:rPr>
              <a:t>DEBT SERVICE</a:t>
            </a:r>
            <a:r>
              <a:rPr lang="en-US" sz="1200" b="1" baseline="0">
                <a:solidFill>
                  <a:schemeClr val="bg1"/>
                </a:solidFill>
              </a:rPr>
              <a:t> </a:t>
            </a:r>
            <a:r>
              <a:rPr lang="en-US" sz="1200" b="1">
                <a:solidFill>
                  <a:schemeClr val="bg1"/>
                </a:solidFill>
              </a:rPr>
              <a:t>COVERAGE RATIO</a:t>
            </a:r>
          </a:p>
        </c:rich>
      </c:tx>
      <c:layout>
        <c:manualLayout>
          <c:xMode val="edge"/>
          <c:yMode val="edge"/>
          <c:x val="0.32753188636991587"/>
          <c:y val="3.3229491173416406E-2"/>
        </c:manualLayout>
      </c:layout>
      <c:overlay val="0"/>
      <c:spPr>
        <a:solidFill>
          <a:srgbClr val="002060"/>
        </a:solidFill>
        <a:ln>
          <a:noFill/>
        </a:ln>
        <a:effectLst/>
      </c:spPr>
      <c:txPr>
        <a:bodyPr rot="0" spcFirstLastPara="1" vertOverflow="ellipsis" vert="horz" wrap="square" anchor="ctr" anchorCtr="1"/>
        <a:lstStyle/>
        <a:p>
          <a:pPr>
            <a:defRPr sz="1200" b="1" i="0" u="none" strike="noStrike" kern="1200" spc="0" baseline="0">
              <a:solidFill>
                <a:schemeClr val="bg1"/>
              </a:solidFill>
              <a:latin typeface="+mn-lt"/>
              <a:ea typeface="+mn-ea"/>
              <a:cs typeface="+mn-cs"/>
            </a:defRPr>
          </a:pPr>
          <a:endParaRPr lang="en-US"/>
        </a:p>
      </c:txPr>
    </c:title>
    <c:autoTitleDeleted val="0"/>
    <c:plotArea>
      <c:layout/>
      <c:barChart>
        <c:barDir val="col"/>
        <c:grouping val="clustered"/>
        <c:varyColors val="0"/>
        <c:ser>
          <c:idx val="0"/>
          <c:order val="0"/>
          <c:tx>
            <c:strRef>
              <c:f>DSCR!$A$15</c:f>
              <c:strCache>
                <c:ptCount val="1"/>
                <c:pt idx="0">
                  <c:v>DSCR</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solidFill>
                <a:prstDash val="sysDot"/>
              </a:ln>
              <a:effectLst/>
            </c:spPr>
            <c:trendlineType val="linear"/>
            <c:dispRSqr val="0"/>
            <c:dispEq val="0"/>
          </c:trendline>
          <c:cat>
            <c:strRef>
              <c:f>DSCR!$D$4:$I$4</c:f>
              <c:strCache>
                <c:ptCount val="6"/>
                <c:pt idx="0">
                  <c:v>2024-25</c:v>
                </c:pt>
                <c:pt idx="1">
                  <c:v>2025-26</c:v>
                </c:pt>
                <c:pt idx="2">
                  <c:v>2026-27</c:v>
                </c:pt>
                <c:pt idx="3">
                  <c:v>2027-28</c:v>
                </c:pt>
                <c:pt idx="4">
                  <c:v>2028-29</c:v>
                </c:pt>
                <c:pt idx="5">
                  <c:v>2029-30</c:v>
                </c:pt>
              </c:strCache>
            </c:strRef>
          </c:cat>
          <c:val>
            <c:numRef>
              <c:f>DSCR!$D$15:$I$15</c:f>
              <c:numCache>
                <c:formatCode>0.00_);\(0.00\)</c:formatCode>
                <c:ptCount val="6"/>
                <c:pt idx="0">
                  <c:v>1.2163760736160236</c:v>
                </c:pt>
                <c:pt idx="1">
                  <c:v>1.3745402688268296</c:v>
                </c:pt>
                <c:pt idx="2">
                  <c:v>1.4555137156811357</c:v>
                </c:pt>
                <c:pt idx="3">
                  <c:v>1.8807073612689538</c:v>
                </c:pt>
                <c:pt idx="4">
                  <c:v>2.2371658817744442</c:v>
                </c:pt>
                <c:pt idx="5">
                  <c:v>2.6556869321704295</c:v>
                </c:pt>
              </c:numCache>
            </c:numRef>
          </c:val>
        </c:ser>
        <c:dLbls>
          <c:dLblPos val="outEnd"/>
          <c:showLegendKey val="0"/>
          <c:showVal val="1"/>
          <c:showCatName val="0"/>
          <c:showSerName val="0"/>
          <c:showPercent val="0"/>
          <c:showBubbleSize val="0"/>
        </c:dLbls>
        <c:gapWidth val="219"/>
        <c:overlap val="-27"/>
        <c:axId val="45102440"/>
        <c:axId val="45100088"/>
      </c:barChart>
      <c:catAx>
        <c:axId val="45102440"/>
        <c:scaling>
          <c:orientation val="minMax"/>
        </c:scaling>
        <c:delete val="0"/>
        <c:axPos val="b"/>
        <c:title>
          <c:tx>
            <c:rich>
              <a:bodyPr rot="0" spcFirstLastPara="1" vertOverflow="ellipsis" vert="horz" wrap="square" anchor="ctr" anchorCtr="1"/>
              <a:lstStyle/>
              <a:p>
                <a:pPr>
                  <a:defRPr sz="1000" b="1" i="1" u="none" strike="noStrike" kern="1200" baseline="0">
                    <a:solidFill>
                      <a:schemeClr val="tx1">
                        <a:lumMod val="65000"/>
                        <a:lumOff val="35000"/>
                      </a:schemeClr>
                    </a:solidFill>
                    <a:latin typeface="+mn-lt"/>
                    <a:ea typeface="+mn-ea"/>
                    <a:cs typeface="+mn-cs"/>
                  </a:defRPr>
                </a:pPr>
                <a:r>
                  <a:rPr lang="en-IN" b="1" i="1"/>
                  <a:t>Financial</a:t>
                </a:r>
                <a:r>
                  <a:rPr lang="en-IN" b="1" i="1" baseline="0"/>
                  <a:t> Year</a:t>
                </a:r>
                <a:endParaRPr lang="en-IN" b="1" i="1"/>
              </a:p>
            </c:rich>
          </c:tx>
          <c:overlay val="0"/>
          <c:spPr>
            <a:noFill/>
            <a:ln>
              <a:noFill/>
            </a:ln>
            <a:effectLst/>
          </c:spPr>
          <c:txPr>
            <a:bodyPr rot="0" spcFirstLastPara="1" vertOverflow="ellipsis" vert="horz" wrap="square" anchor="ctr" anchorCtr="1"/>
            <a:lstStyle/>
            <a:p>
              <a:pPr>
                <a:defRPr sz="1000" b="1" i="1"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1" u="none" strike="noStrike" kern="1200" baseline="0">
                <a:solidFill>
                  <a:schemeClr val="tx1">
                    <a:lumMod val="65000"/>
                    <a:lumOff val="35000"/>
                  </a:schemeClr>
                </a:solidFill>
                <a:latin typeface="+mn-lt"/>
                <a:ea typeface="+mn-ea"/>
                <a:cs typeface="+mn-cs"/>
              </a:defRPr>
            </a:pPr>
            <a:endParaRPr lang="en-US"/>
          </a:p>
        </c:txPr>
        <c:crossAx val="45100088"/>
        <c:crosses val="autoZero"/>
        <c:auto val="1"/>
        <c:lblAlgn val="ctr"/>
        <c:lblOffset val="100"/>
        <c:noMultiLvlLbl val="0"/>
      </c:catAx>
      <c:valAx>
        <c:axId val="451000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1" u="none" strike="noStrike" kern="1200" baseline="0">
                    <a:solidFill>
                      <a:schemeClr val="tx1">
                        <a:lumMod val="65000"/>
                        <a:lumOff val="35000"/>
                      </a:schemeClr>
                    </a:solidFill>
                    <a:latin typeface="+mn-lt"/>
                    <a:ea typeface="+mn-ea"/>
                    <a:cs typeface="+mn-cs"/>
                  </a:defRPr>
                </a:pPr>
                <a:r>
                  <a:rPr lang="en-IN" b="1" i="1"/>
                  <a:t>DSCR</a:t>
                </a:r>
              </a:p>
            </c:rich>
          </c:tx>
          <c:layout>
            <c:manualLayout>
              <c:xMode val="edge"/>
              <c:yMode val="edge"/>
              <c:x val="1.6679693573015276E-2"/>
              <c:y val="0.39174790067129461"/>
            </c:manualLayout>
          </c:layout>
          <c:overlay val="0"/>
          <c:spPr>
            <a:noFill/>
            <a:ln>
              <a:noFill/>
            </a:ln>
            <a:effectLst/>
          </c:spPr>
          <c:txPr>
            <a:bodyPr rot="-5400000" spcFirstLastPara="1" vertOverflow="ellipsis" vert="horz" wrap="square" anchor="ctr" anchorCtr="1"/>
            <a:lstStyle/>
            <a:p>
              <a:pPr>
                <a:defRPr sz="1000" b="1" i="1" u="none" strike="noStrike" kern="1200" baseline="0">
                  <a:solidFill>
                    <a:schemeClr val="tx1">
                      <a:lumMod val="65000"/>
                      <a:lumOff val="35000"/>
                    </a:schemeClr>
                  </a:solidFill>
                  <a:latin typeface="+mn-lt"/>
                  <a:ea typeface="+mn-ea"/>
                  <a:cs typeface="+mn-cs"/>
                </a:defRPr>
              </a:pPr>
              <a:endParaRPr lang="en-US"/>
            </a:p>
          </c:txPr>
        </c:title>
        <c:numFmt formatCode="0.00_);\(0.00\)" sourceLinked="1"/>
        <c:majorTickMark val="none"/>
        <c:minorTickMark val="none"/>
        <c:tickLblPos val="nextTo"/>
        <c:spPr>
          <a:noFill/>
          <a:ln>
            <a:noFill/>
          </a:ln>
          <a:effectLst/>
        </c:spPr>
        <c:txPr>
          <a:bodyPr rot="-60000000" spcFirstLastPara="1" vertOverflow="ellipsis" vert="horz" wrap="square" anchor="ctr" anchorCtr="1"/>
          <a:lstStyle/>
          <a:p>
            <a:pPr>
              <a:defRPr sz="900" b="1" i="1" u="none" strike="noStrike" kern="1200" baseline="0">
                <a:solidFill>
                  <a:schemeClr val="tx1">
                    <a:lumMod val="65000"/>
                    <a:lumOff val="35000"/>
                  </a:schemeClr>
                </a:solidFill>
                <a:latin typeface="+mn-lt"/>
                <a:ea typeface="+mn-ea"/>
                <a:cs typeface="+mn-cs"/>
              </a:defRPr>
            </a:pPr>
            <a:endParaRPr lang="en-US"/>
          </a:p>
        </c:txPr>
        <c:crossAx val="451024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11</xdr:col>
      <xdr:colOff>571500</xdr:colOff>
      <xdr:row>43</xdr:row>
      <xdr:rowOff>118110</xdr:rowOff>
    </xdr:from>
    <xdr:to>
      <xdr:col>18</xdr:col>
      <xdr:colOff>419100</xdr:colOff>
      <xdr:row>58</xdr:row>
      <xdr:rowOff>118110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137160</xdr:colOff>
      <xdr:row>27</xdr:row>
      <xdr:rowOff>129540</xdr:rowOff>
    </xdr:from>
    <xdr:to>
      <xdr:col>19</xdr:col>
      <xdr:colOff>213360</xdr:colOff>
      <xdr:row>41</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426720</xdr:colOff>
      <xdr:row>43</xdr:row>
      <xdr:rowOff>99060</xdr:rowOff>
    </xdr:from>
    <xdr:to>
      <xdr:col>11</xdr:col>
      <xdr:colOff>342900</xdr:colOff>
      <xdr:row>58</xdr:row>
      <xdr:rowOff>99060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28</xdr:row>
      <xdr:rowOff>0</xdr:rowOff>
    </xdr:from>
    <xdr:to>
      <xdr:col>11</xdr:col>
      <xdr:colOff>525780</xdr:colOff>
      <xdr:row>41</xdr:row>
      <xdr:rowOff>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121920</xdr:colOff>
      <xdr:row>56</xdr:row>
      <xdr:rowOff>22860</xdr:rowOff>
    </xdr:from>
    <xdr:to>
      <xdr:col>15</xdr:col>
      <xdr:colOff>1266825</xdr:colOff>
      <xdr:row>74</xdr:row>
      <xdr:rowOff>85725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19049</xdr:colOff>
      <xdr:row>55</xdr:row>
      <xdr:rowOff>186690</xdr:rowOff>
    </xdr:from>
    <xdr:to>
      <xdr:col>26</xdr:col>
      <xdr:colOff>9524</xdr:colOff>
      <xdr:row>74</xdr:row>
      <xdr:rowOff>95250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495300</xdr:colOff>
      <xdr:row>31</xdr:row>
      <xdr:rowOff>104774</xdr:rowOff>
    </xdr:from>
    <xdr:to>
      <xdr:col>16</xdr:col>
      <xdr:colOff>323850</xdr:colOff>
      <xdr:row>48</xdr:row>
      <xdr:rowOff>95249</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9525</xdr:colOff>
      <xdr:row>31</xdr:row>
      <xdr:rowOff>161924</xdr:rowOff>
    </xdr:from>
    <xdr:to>
      <xdr:col>26</xdr:col>
      <xdr:colOff>495300</xdr:colOff>
      <xdr:row>48</xdr:row>
      <xdr:rowOff>171449</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595311</xdr:colOff>
      <xdr:row>1</xdr:row>
      <xdr:rowOff>9524</xdr:rowOff>
    </xdr:from>
    <xdr:to>
      <xdr:col>20</xdr:col>
      <xdr:colOff>590550</xdr:colOff>
      <xdr:row>17</xdr:row>
      <xdr:rowOff>19049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5"/>
  <sheetViews>
    <sheetView topLeftCell="A10" workbookViewId="0">
      <selection activeCell="E10" sqref="E10"/>
    </sheetView>
  </sheetViews>
  <sheetFormatPr defaultRowHeight="15" x14ac:dyDescent="0.25"/>
  <cols>
    <col min="1" max="1" width="4.85546875" customWidth="1"/>
    <col min="2" max="2" width="16.140625" style="3" customWidth="1"/>
    <col min="4" max="4" width="20.85546875" bestFit="1" customWidth="1"/>
  </cols>
  <sheetData>
    <row r="1" spans="2:17" ht="18.75" x14ac:dyDescent="0.3">
      <c r="B1" s="81" t="s">
        <v>0</v>
      </c>
      <c r="C1" s="81"/>
      <c r="D1" s="81"/>
      <c r="E1" s="81"/>
      <c r="F1" s="81"/>
      <c r="G1" s="81"/>
      <c r="H1" s="81"/>
      <c r="I1" s="81"/>
    </row>
    <row r="2" spans="2:17" x14ac:dyDescent="0.25">
      <c r="B2" s="2" t="s">
        <v>327</v>
      </c>
      <c r="C2" s="2"/>
      <c r="D2" s="2" t="s">
        <v>409</v>
      </c>
    </row>
    <row r="4" spans="2:17" x14ac:dyDescent="0.25">
      <c r="B4" s="3" t="s">
        <v>407</v>
      </c>
      <c r="D4" t="s">
        <v>408</v>
      </c>
    </row>
    <row r="5" spans="2:17" x14ac:dyDescent="0.25">
      <c r="K5" t="s">
        <v>572</v>
      </c>
    </row>
    <row r="6" spans="2:17" x14ac:dyDescent="0.25">
      <c r="B6" s="3" t="s">
        <v>410</v>
      </c>
    </row>
    <row r="10" spans="2:17" ht="60" x14ac:dyDescent="0.25">
      <c r="D10" s="113"/>
      <c r="E10" s="113" t="s">
        <v>573</v>
      </c>
    </row>
    <row r="11" spans="2:17" x14ac:dyDescent="0.25">
      <c r="Q11" s="5"/>
    </row>
    <row r="12" spans="2:17" x14ac:dyDescent="0.25">
      <c r="K12" s="5"/>
      <c r="Q12" s="5"/>
    </row>
    <row r="13" spans="2:17" x14ac:dyDescent="0.25">
      <c r="Q13" s="5"/>
    </row>
    <row r="14" spans="2:17" x14ac:dyDescent="0.25">
      <c r="Q14" s="5"/>
    </row>
    <row r="15" spans="2:17" x14ac:dyDescent="0.25">
      <c r="Q15" s="5"/>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workbookViewId="0">
      <pane ySplit="3" topLeftCell="A28" activePane="bottomLeft" state="frozen"/>
      <selection activeCell="C1" sqref="C1"/>
      <selection pane="bottomLeft" activeCell="C36" sqref="C36:I38"/>
    </sheetView>
  </sheetViews>
  <sheetFormatPr defaultRowHeight="15" x14ac:dyDescent="0.25"/>
  <cols>
    <col min="1" max="1" width="30.42578125" customWidth="1"/>
    <col min="2" max="2" width="9.7109375" customWidth="1"/>
    <col min="3" max="3" width="9.5703125" bestFit="1" customWidth="1"/>
  </cols>
  <sheetData>
    <row r="1" spans="1:18" ht="18.75" x14ac:dyDescent="0.3">
      <c r="A1" s="81" t="s">
        <v>266</v>
      </c>
      <c r="B1" s="81"/>
      <c r="C1" s="81"/>
      <c r="D1" s="81"/>
      <c r="E1" s="81"/>
      <c r="F1" s="81"/>
      <c r="G1" s="81"/>
      <c r="H1" s="81"/>
      <c r="I1" s="81"/>
    </row>
    <row r="2" spans="1:18" x14ac:dyDescent="0.25">
      <c r="C2" s="4" t="s">
        <v>14</v>
      </c>
      <c r="D2" s="4" t="s">
        <v>15</v>
      </c>
      <c r="E2" s="4" t="s">
        <v>16</v>
      </c>
      <c r="F2" s="4" t="s">
        <v>17</v>
      </c>
      <c r="G2" s="4" t="s">
        <v>18</v>
      </c>
      <c r="H2" s="4" t="s">
        <v>19</v>
      </c>
      <c r="I2" s="4" t="s">
        <v>20</v>
      </c>
    </row>
    <row r="3" spans="1:18" x14ac:dyDescent="0.25">
      <c r="B3" t="s">
        <v>267</v>
      </c>
      <c r="C3" s="2" t="s">
        <v>2</v>
      </c>
      <c r="D3" s="2" t="s">
        <v>3</v>
      </c>
      <c r="E3" s="2" t="s">
        <v>4</v>
      </c>
      <c r="F3" s="2" t="s">
        <v>5</v>
      </c>
      <c r="G3" s="2" t="s">
        <v>6</v>
      </c>
      <c r="H3" s="2" t="s">
        <v>7</v>
      </c>
      <c r="I3" s="2" t="s">
        <v>535</v>
      </c>
    </row>
    <row r="4" spans="1:18" x14ac:dyDescent="0.25">
      <c r="A4" s="2" t="s">
        <v>268</v>
      </c>
      <c r="B4" s="2"/>
      <c r="C4" s="2"/>
      <c r="D4" s="2"/>
      <c r="E4" s="2"/>
      <c r="F4" s="2"/>
      <c r="G4" s="2"/>
      <c r="H4" s="2"/>
      <c r="I4" s="2"/>
    </row>
    <row r="5" spans="1:18" x14ac:dyDescent="0.25">
      <c r="A5" t="s">
        <v>269</v>
      </c>
      <c r="B5" s="6">
        <v>0</v>
      </c>
      <c r="C5" s="6">
        <f>PL!B36</f>
        <v>1.0137306666709756E-2</v>
      </c>
      <c r="D5" s="6">
        <f>PL!C36</f>
        <v>28.931773162082237</v>
      </c>
      <c r="E5" s="6">
        <f>PL!D36</f>
        <v>44.704643413366469</v>
      </c>
      <c r="F5" s="6">
        <f>PL!E36</f>
        <v>52.295797983638849</v>
      </c>
      <c r="G5" s="6">
        <f ca="1">PL!F36</f>
        <v>86.130561161592908</v>
      </c>
      <c r="H5" s="6">
        <f ca="1">PL!G36</f>
        <v>110.38516775901142</v>
      </c>
      <c r="I5" s="6">
        <f ca="1">PL!H36</f>
        <v>134.7453670228297</v>
      </c>
    </row>
    <row r="6" spans="1:18" x14ac:dyDescent="0.25">
      <c r="A6" t="s">
        <v>270</v>
      </c>
      <c r="B6" s="6">
        <v>0</v>
      </c>
      <c r="C6" s="6">
        <f>PL!B20+PL!B35</f>
        <v>25.773333333333337</v>
      </c>
      <c r="D6" s="6">
        <f>PL!C20+PL!C35</f>
        <v>38.591383999999998</v>
      </c>
      <c r="E6" s="6">
        <f>PL!D20+PL!D35</f>
        <v>38.591383999999998</v>
      </c>
      <c r="F6" s="6">
        <f>PL!E20+PL!E35</f>
        <v>38.591383999999998</v>
      </c>
      <c r="G6" s="6">
        <f>PL!F20+PL!F35</f>
        <v>38.591383999999998</v>
      </c>
      <c r="H6" s="6">
        <f>PL!G20+PL!G35</f>
        <v>38.591383999999998</v>
      </c>
      <c r="I6" s="6">
        <f>PL!H20+PL!H35</f>
        <v>38.591383999999998</v>
      </c>
    </row>
    <row r="7" spans="1:18" x14ac:dyDescent="0.25">
      <c r="A7" t="s">
        <v>271</v>
      </c>
      <c r="B7">
        <f>'Project Cost'!C44</f>
        <v>125.38999999999999</v>
      </c>
      <c r="C7">
        <f>'Project Cost'!D44</f>
        <v>33.69</v>
      </c>
      <c r="D7" s="6">
        <v>0</v>
      </c>
      <c r="E7" s="6">
        <v>0</v>
      </c>
      <c r="F7" s="6">
        <v>0</v>
      </c>
      <c r="G7" s="6">
        <v>0</v>
      </c>
      <c r="H7" s="6">
        <v>0</v>
      </c>
      <c r="I7" s="6">
        <v>0</v>
      </c>
    </row>
    <row r="8" spans="1:18" x14ac:dyDescent="0.25">
      <c r="A8" t="s">
        <v>70</v>
      </c>
      <c r="B8" s="6">
        <v>215</v>
      </c>
      <c r="C8" s="6">
        <v>0</v>
      </c>
      <c r="D8" s="6">
        <v>0</v>
      </c>
      <c r="E8" s="6">
        <v>0</v>
      </c>
      <c r="F8" s="6">
        <v>0</v>
      </c>
      <c r="G8" s="6">
        <v>0</v>
      </c>
      <c r="H8" s="6">
        <v>0</v>
      </c>
      <c r="I8" s="6">
        <v>0</v>
      </c>
    </row>
    <row r="9" spans="1:18" x14ac:dyDescent="0.25">
      <c r="A9" t="s">
        <v>272</v>
      </c>
      <c r="B9" s="6">
        <v>0</v>
      </c>
      <c r="C9" s="6">
        <v>50</v>
      </c>
      <c r="D9" s="6">
        <v>0</v>
      </c>
      <c r="E9" s="6">
        <v>0</v>
      </c>
      <c r="F9" s="6">
        <v>0</v>
      </c>
      <c r="G9" s="6">
        <v>0</v>
      </c>
      <c r="H9" s="6">
        <v>0</v>
      </c>
      <c r="I9" s="6">
        <v>0</v>
      </c>
    </row>
    <row r="10" spans="1:18" x14ac:dyDescent="0.25">
      <c r="A10" t="s">
        <v>273</v>
      </c>
      <c r="B10" s="6">
        <v>0</v>
      </c>
      <c r="C10" s="6">
        <v>0</v>
      </c>
      <c r="D10" s="6">
        <v>0</v>
      </c>
      <c r="E10" s="6">
        <v>0</v>
      </c>
      <c r="F10" s="6">
        <v>0</v>
      </c>
      <c r="G10" s="6">
        <v>0</v>
      </c>
      <c r="H10" s="6">
        <v>0</v>
      </c>
      <c r="I10" s="6">
        <v>0</v>
      </c>
    </row>
    <row r="11" spans="1:18" x14ac:dyDescent="0.25">
      <c r="A11" t="s">
        <v>274</v>
      </c>
      <c r="B11" s="6">
        <v>0</v>
      </c>
      <c r="C11" s="6">
        <v>0</v>
      </c>
      <c r="D11" s="6">
        <v>0</v>
      </c>
      <c r="E11" s="6">
        <v>0</v>
      </c>
      <c r="F11" s="6">
        <v>0</v>
      </c>
      <c r="G11" s="6">
        <v>0</v>
      </c>
      <c r="H11" s="6">
        <v>0</v>
      </c>
      <c r="I11" s="6">
        <v>0</v>
      </c>
    </row>
    <row r="12" spans="1:18" x14ac:dyDescent="0.25">
      <c r="A12" t="s">
        <v>275</v>
      </c>
      <c r="B12" s="6">
        <v>0</v>
      </c>
      <c r="C12" s="6">
        <f>BS!C12</f>
        <v>1.42</v>
      </c>
      <c r="D12" s="6">
        <f>BS!D12-BS!C12</f>
        <v>0.83000000000000007</v>
      </c>
      <c r="E12" s="6">
        <f>BS!E12-BS!D12</f>
        <v>1.9299999999999997</v>
      </c>
      <c r="F12" s="6">
        <f>BS!F12-BS!E12</f>
        <v>2.4400000000000004</v>
      </c>
      <c r="G12" s="6">
        <f>BS!G12-BS!F12</f>
        <v>2.8999999999999995</v>
      </c>
      <c r="H12" s="6">
        <f>BS!H12-BS!G12</f>
        <v>3.0500000000000007</v>
      </c>
      <c r="I12" s="6">
        <f>BS!I12-BS!H12</f>
        <v>3.1799999999999997</v>
      </c>
    </row>
    <row r="13" spans="1:18" x14ac:dyDescent="0.25">
      <c r="A13" t="s">
        <v>276</v>
      </c>
      <c r="B13" s="6">
        <v>0</v>
      </c>
      <c r="C13" s="6">
        <f>'Working Capital'!C12</f>
        <v>5.5791666666666666</v>
      </c>
      <c r="D13" s="6">
        <f>'Working Capital'!D12-'Working Capital'!C12</f>
        <v>3.8356770833333345</v>
      </c>
      <c r="E13" s="6">
        <f>'Working Capital'!E12-'Working Capital'!D12</f>
        <v>1.0460937499999989</v>
      </c>
      <c r="F13" s="6">
        <f>'Working Capital'!F12-'Working Capital'!E12</f>
        <v>0.52304687500000036</v>
      </c>
      <c r="G13" s="6">
        <f>'Working Capital'!G12-'Working Capital'!F12</f>
        <v>0.52304687500000213</v>
      </c>
      <c r="H13" s="6">
        <f>'Working Capital'!H12-'Working Capital'!G12</f>
        <v>0.52304687499999858</v>
      </c>
      <c r="I13" s="6">
        <f>'Working Capital'!I12-'Working Capital'!H12</f>
        <v>0.52304687500000036</v>
      </c>
      <c r="L13" s="6"/>
      <c r="M13" s="6"/>
      <c r="N13" s="6"/>
      <c r="O13" s="6"/>
      <c r="P13" s="6"/>
      <c r="Q13" s="6"/>
      <c r="R13" s="6"/>
    </row>
    <row r="14" spans="1:18" x14ac:dyDescent="0.25">
      <c r="A14" s="23" t="s">
        <v>130</v>
      </c>
      <c r="B14" s="27">
        <f t="shared" ref="B14:I14" si="0">SUM(B5:B13)</f>
        <v>340.39</v>
      </c>
      <c r="C14" s="27">
        <f t="shared" si="0"/>
        <v>116.47263730666671</v>
      </c>
      <c r="D14" s="27">
        <f t="shared" si="0"/>
        <v>72.188834245415578</v>
      </c>
      <c r="E14" s="27">
        <f t="shared" si="0"/>
        <v>86.272121163366464</v>
      </c>
      <c r="F14" s="27">
        <f t="shared" si="0"/>
        <v>93.850228858638843</v>
      </c>
      <c r="G14" s="27">
        <f t="shared" ca="1" si="0"/>
        <v>128.14499203659292</v>
      </c>
      <c r="H14" s="27">
        <f t="shared" ca="1" si="0"/>
        <v>152.54959863401143</v>
      </c>
      <c r="I14" s="24">
        <f t="shared" ca="1" si="0"/>
        <v>177.03979789782971</v>
      </c>
    </row>
    <row r="17" spans="1:9" x14ac:dyDescent="0.25">
      <c r="A17" s="2" t="s">
        <v>277</v>
      </c>
      <c r="B17" s="2"/>
      <c r="C17" s="2"/>
      <c r="D17" s="2"/>
      <c r="E17" s="2"/>
      <c r="F17" s="2"/>
      <c r="G17" s="2"/>
      <c r="H17" s="2"/>
      <c r="I17" s="2"/>
    </row>
    <row r="19" spans="1:9" x14ac:dyDescent="0.25">
      <c r="A19" t="s">
        <v>278</v>
      </c>
      <c r="B19" s="6">
        <v>338.9</v>
      </c>
      <c r="C19" s="6">
        <v>0</v>
      </c>
      <c r="D19" s="6">
        <v>0</v>
      </c>
      <c r="E19" s="6">
        <v>0</v>
      </c>
      <c r="F19" s="6">
        <v>0</v>
      </c>
      <c r="G19" s="6">
        <v>0</v>
      </c>
      <c r="H19" s="6">
        <v>0</v>
      </c>
      <c r="I19" s="6">
        <v>0</v>
      </c>
    </row>
    <row r="20" spans="1:9" x14ac:dyDescent="0.25">
      <c r="A20" t="s">
        <v>279</v>
      </c>
      <c r="B20" s="6">
        <v>0</v>
      </c>
      <c r="C20" s="6">
        <f>BS!C21-BS!B21</f>
        <v>51.242333333333335</v>
      </c>
      <c r="D20" s="6">
        <f>BS!D21-BS!C21</f>
        <v>23.560954166666662</v>
      </c>
      <c r="E20" s="6">
        <f>BS!E21-BS!D21</f>
        <v>7.1013875000000013</v>
      </c>
      <c r="F20" s="6">
        <f>BS!F21-BS!E21</f>
        <v>4.3368937500000015</v>
      </c>
      <c r="G20" s="6">
        <f>BS!G21-BS!F21</f>
        <v>40.588431249999999</v>
      </c>
      <c r="H20" s="6">
        <f>BS!H21-BS!G21</f>
        <v>7.9500000000000028</v>
      </c>
      <c r="I20" s="6">
        <f>BS!I21-BS!H21</f>
        <v>7.9699999999999989</v>
      </c>
    </row>
    <row r="21" spans="1:9" x14ac:dyDescent="0.25">
      <c r="A21" t="s">
        <v>292</v>
      </c>
      <c r="B21" s="6">
        <v>0</v>
      </c>
      <c r="C21" s="6">
        <v>0</v>
      </c>
      <c r="D21" s="6">
        <f>'Amortization Schedule'!M12</f>
        <v>17.374944387917754</v>
      </c>
      <c r="E21" s="6">
        <f>'Amortization Schedule'!M17</f>
        <v>14.853016061633596</v>
      </c>
      <c r="F21" s="6">
        <f>'Amortization Schedule'!M22</f>
        <v>12.109793665111074</v>
      </c>
      <c r="G21" s="6">
        <f>'Amortization Schedule'!M27</f>
        <v>9.1258590947457741</v>
      </c>
      <c r="H21" s="6">
        <f>'Amortization Schedule'!M32</f>
        <v>5.8800903479215227</v>
      </c>
      <c r="I21" s="6">
        <f>'Amortization Schedule'!M37</f>
        <v>2.3495120093450965</v>
      </c>
    </row>
    <row r="22" spans="1:9" x14ac:dyDescent="0.25">
      <c r="A22" t="s">
        <v>293</v>
      </c>
      <c r="B22" s="6">
        <v>0</v>
      </c>
      <c r="C22" s="6">
        <v>0</v>
      </c>
      <c r="D22" s="6">
        <f>'Amortization Schedule'!K12</f>
        <v>46.115535927779142</v>
      </c>
      <c r="E22" s="6">
        <f>'Amortization Schedule'!K17</f>
        <v>46.115535927779142</v>
      </c>
      <c r="F22" s="6">
        <f>'Amortization Schedule'!K22</f>
        <v>46.115535927779142</v>
      </c>
      <c r="G22" s="6">
        <f>'Amortization Schedule'!K27</f>
        <v>46.115535927779142</v>
      </c>
      <c r="H22" s="6">
        <f>'Amortization Schedule'!K32</f>
        <v>46.115535927779142</v>
      </c>
      <c r="I22" s="6">
        <f>'Amortization Schedule'!K37</f>
        <v>46.115535927779142</v>
      </c>
    </row>
    <row r="23" spans="1:9" x14ac:dyDescent="0.25">
      <c r="A23" t="s">
        <v>280</v>
      </c>
      <c r="B23" s="6">
        <v>0</v>
      </c>
      <c r="C23">
        <v>4.25</v>
      </c>
      <c r="D23">
        <v>4.25</v>
      </c>
      <c r="E23">
        <v>4.25</v>
      </c>
      <c r="F23">
        <v>4.25</v>
      </c>
      <c r="G23">
        <v>4.25</v>
      </c>
      <c r="H23">
        <v>4.25</v>
      </c>
      <c r="I23">
        <v>4.25</v>
      </c>
    </row>
    <row r="24" spans="1:9" x14ac:dyDescent="0.25">
      <c r="A24" t="s">
        <v>44</v>
      </c>
      <c r="B24" s="6">
        <v>0</v>
      </c>
      <c r="C24" s="6">
        <f>BS!C24</f>
        <v>0</v>
      </c>
      <c r="D24" s="6">
        <f>BS!D24</f>
        <v>7.6698003915971595</v>
      </c>
      <c r="E24" s="6">
        <f>BS!E24</f>
        <v>14.345313633490141</v>
      </c>
      <c r="F24" s="6">
        <f>BS!F24</f>
        <v>18.249209826243487</v>
      </c>
      <c r="G24" s="6">
        <f ca="1">BS!G24</f>
        <v>29.954905990709928</v>
      </c>
      <c r="H24" s="6">
        <f ca="1">BS!H24</f>
        <v>38.533801001440622</v>
      </c>
      <c r="I24" s="6">
        <f ca="1">BS!I24</f>
        <v>46.978268558540535</v>
      </c>
    </row>
    <row r="25" spans="1:9" x14ac:dyDescent="0.25">
      <c r="A25" t="s">
        <v>281</v>
      </c>
      <c r="B25" s="6">
        <v>0</v>
      </c>
      <c r="C25" s="6">
        <v>0</v>
      </c>
      <c r="D25" s="6">
        <v>0</v>
      </c>
      <c r="E25" s="6">
        <v>0</v>
      </c>
      <c r="F25" s="6">
        <v>0</v>
      </c>
      <c r="G25" s="6">
        <v>0</v>
      </c>
      <c r="H25" s="6">
        <v>0</v>
      </c>
      <c r="I25" s="6">
        <v>0</v>
      </c>
    </row>
    <row r="26" spans="1:9" x14ac:dyDescent="0.25">
      <c r="A26" t="s">
        <v>282</v>
      </c>
      <c r="B26" s="6">
        <v>0</v>
      </c>
      <c r="C26" s="6">
        <v>0</v>
      </c>
      <c r="D26" s="6">
        <v>0</v>
      </c>
      <c r="E26" s="6">
        <v>0</v>
      </c>
      <c r="F26" s="6">
        <v>0</v>
      </c>
      <c r="G26" s="6">
        <v>0</v>
      </c>
      <c r="H26" s="6">
        <v>0</v>
      </c>
      <c r="I26" s="6">
        <v>0</v>
      </c>
    </row>
    <row r="27" spans="1:9" x14ac:dyDescent="0.25">
      <c r="A27" t="s">
        <v>283</v>
      </c>
      <c r="B27" s="6">
        <v>0</v>
      </c>
      <c r="C27" s="6">
        <v>0</v>
      </c>
      <c r="D27" s="6">
        <v>0</v>
      </c>
      <c r="E27" s="6">
        <v>0</v>
      </c>
      <c r="F27" s="6">
        <v>0</v>
      </c>
      <c r="G27" s="6">
        <v>0</v>
      </c>
      <c r="H27" s="6">
        <v>0</v>
      </c>
      <c r="I27" s="6">
        <v>0</v>
      </c>
    </row>
    <row r="28" spans="1:9" x14ac:dyDescent="0.25">
      <c r="A28" t="s">
        <v>284</v>
      </c>
      <c r="B28" s="6">
        <v>0</v>
      </c>
      <c r="C28" s="6">
        <v>0</v>
      </c>
      <c r="D28" s="6">
        <v>0</v>
      </c>
      <c r="E28" s="6">
        <v>0</v>
      </c>
      <c r="F28" s="6">
        <v>0</v>
      </c>
      <c r="G28" s="6">
        <v>0</v>
      </c>
      <c r="H28" s="6">
        <v>0</v>
      </c>
      <c r="I28" s="6">
        <v>0</v>
      </c>
    </row>
    <row r="29" spans="1:9" x14ac:dyDescent="0.25">
      <c r="A29" t="s">
        <v>285</v>
      </c>
      <c r="B29" s="6">
        <v>0</v>
      </c>
      <c r="C29" s="6">
        <f>BS!C26</f>
        <v>16.344000000000001</v>
      </c>
      <c r="D29" s="6">
        <f>BS!D26-BS!C26</f>
        <v>14.309599999999996</v>
      </c>
      <c r="E29" s="6">
        <f>BS!E26-BS!D26</f>
        <v>3.4192000000000107</v>
      </c>
      <c r="F29" s="6">
        <f>BS!F26-BS!E26</f>
        <v>1.7107999999999919</v>
      </c>
      <c r="G29" s="6">
        <f ca="1">BS!G26-BS!F26</f>
        <v>2.1948022886071001</v>
      </c>
      <c r="H29" s="6">
        <f ca="1">BS!H26-BS!G26</f>
        <v>1.7578270280475508</v>
      </c>
      <c r="I29" s="6">
        <f ca="1">BS!I26-BS!H26</f>
        <v>1.7650576740193387</v>
      </c>
    </row>
    <row r="30" spans="1:9" x14ac:dyDescent="0.25">
      <c r="A30" t="s">
        <v>290</v>
      </c>
      <c r="B30" s="6">
        <v>0</v>
      </c>
      <c r="C30" s="6">
        <v>0</v>
      </c>
      <c r="D30" s="6">
        <v>0</v>
      </c>
      <c r="E30" s="6">
        <v>0</v>
      </c>
      <c r="F30" s="6">
        <v>0</v>
      </c>
      <c r="G30" s="6">
        <v>0</v>
      </c>
      <c r="H30" s="6">
        <v>0</v>
      </c>
      <c r="I30" s="6">
        <v>0</v>
      </c>
    </row>
    <row r="31" spans="1:9" x14ac:dyDescent="0.25">
      <c r="A31" t="s">
        <v>291</v>
      </c>
      <c r="B31" s="6">
        <v>0</v>
      </c>
      <c r="C31" s="6">
        <v>0</v>
      </c>
      <c r="D31" s="6">
        <v>0</v>
      </c>
      <c r="E31" s="6">
        <v>0</v>
      </c>
      <c r="F31" s="6">
        <v>0</v>
      </c>
      <c r="G31" s="6">
        <v>0</v>
      </c>
      <c r="H31" s="6">
        <v>0</v>
      </c>
      <c r="I31" s="6">
        <v>0</v>
      </c>
    </row>
    <row r="32" spans="1:9" x14ac:dyDescent="0.25">
      <c r="A32" t="s">
        <v>286</v>
      </c>
      <c r="B32" s="6">
        <v>1</v>
      </c>
      <c r="C32" s="6">
        <v>0</v>
      </c>
      <c r="D32" s="6">
        <v>0</v>
      </c>
      <c r="E32" s="6">
        <v>0</v>
      </c>
      <c r="F32" s="6">
        <v>0</v>
      </c>
      <c r="G32" s="6">
        <v>0</v>
      </c>
      <c r="H32" s="6">
        <v>0</v>
      </c>
      <c r="I32" s="6">
        <v>0</v>
      </c>
    </row>
    <row r="33" spans="1:9" x14ac:dyDescent="0.25">
      <c r="A33" s="23" t="s">
        <v>130</v>
      </c>
      <c r="B33" s="27">
        <f t="shared" ref="B33:I33" si="1">SUM(B19:B32)</f>
        <v>339.9</v>
      </c>
      <c r="C33" s="27">
        <f t="shared" si="1"/>
        <v>71.836333333333329</v>
      </c>
      <c r="D33" s="27">
        <f t="shared" si="1"/>
        <v>113.28083487396071</v>
      </c>
      <c r="E33" s="27">
        <f t="shared" si="1"/>
        <v>90.084453122902886</v>
      </c>
      <c r="F33" s="27">
        <f t="shared" si="1"/>
        <v>86.772233169133699</v>
      </c>
      <c r="G33" s="27">
        <f t="shared" ca="1" si="1"/>
        <v>132.22953455184194</v>
      </c>
      <c r="H33" s="27">
        <f t="shared" ca="1" si="1"/>
        <v>104.48725430518886</v>
      </c>
      <c r="I33" s="24">
        <f t="shared" ca="1" si="1"/>
        <v>109.4283741696841</v>
      </c>
    </row>
    <row r="36" spans="1:9" x14ac:dyDescent="0.25">
      <c r="A36" t="s">
        <v>287</v>
      </c>
      <c r="B36" s="87">
        <f t="shared" ref="B36:I36" si="2">B14-B33</f>
        <v>0.49000000000000909</v>
      </c>
      <c r="C36" s="110">
        <f t="shared" si="2"/>
        <v>44.636303973333384</v>
      </c>
      <c r="D36" s="110">
        <f t="shared" si="2"/>
        <v>-41.092000628545136</v>
      </c>
      <c r="E36" s="110">
        <f t="shared" si="2"/>
        <v>-3.8123319595364222</v>
      </c>
      <c r="F36" s="110">
        <f t="shared" si="2"/>
        <v>7.0779956895051441</v>
      </c>
      <c r="G36" s="110">
        <f t="shared" ca="1" si="2"/>
        <v>-4.0845425152490122</v>
      </c>
      <c r="H36" s="110">
        <f t="shared" ca="1" si="2"/>
        <v>48.062344328822576</v>
      </c>
      <c r="I36" s="110">
        <f t="shared" ca="1" si="2"/>
        <v>67.61142372814561</v>
      </c>
    </row>
    <row r="37" spans="1:9" x14ac:dyDescent="0.25">
      <c r="A37" t="s">
        <v>288</v>
      </c>
      <c r="B37" s="6">
        <v>0</v>
      </c>
      <c r="C37" s="110">
        <f t="shared" ref="C37:I37" si="3">B38</f>
        <v>0.49000000000000909</v>
      </c>
      <c r="D37" s="110">
        <f t="shared" si="3"/>
        <v>45.126303973333393</v>
      </c>
      <c r="E37" s="110">
        <f t="shared" si="3"/>
        <v>4.0343033447882561</v>
      </c>
      <c r="F37" s="110">
        <f t="shared" si="3"/>
        <v>0.22197138525183391</v>
      </c>
      <c r="G37" s="110">
        <f t="shared" si="3"/>
        <v>7.299967074756978</v>
      </c>
      <c r="H37" s="110">
        <f t="shared" ca="1" si="3"/>
        <v>3.2154245595079658</v>
      </c>
      <c r="I37" s="110">
        <f t="shared" ca="1" si="3"/>
        <v>51.277768888330542</v>
      </c>
    </row>
    <row r="38" spans="1:9" x14ac:dyDescent="0.25">
      <c r="A38" s="23" t="s">
        <v>289</v>
      </c>
      <c r="B38" s="109">
        <f>B36+B37</f>
        <v>0.49000000000000909</v>
      </c>
      <c r="C38" s="111">
        <f>C36+C37</f>
        <v>45.126303973333393</v>
      </c>
      <c r="D38" s="111">
        <f t="shared" ref="D38:I38" si="4">D36+D37</f>
        <v>4.0343033447882561</v>
      </c>
      <c r="E38" s="111">
        <f t="shared" si="4"/>
        <v>0.22197138525183391</v>
      </c>
      <c r="F38" s="111">
        <f t="shared" si="4"/>
        <v>7.299967074756978</v>
      </c>
      <c r="G38" s="111">
        <f t="shared" ca="1" si="4"/>
        <v>3.2154245595079658</v>
      </c>
      <c r="H38" s="111">
        <f t="shared" ca="1" si="4"/>
        <v>51.277768888330542</v>
      </c>
      <c r="I38" s="111">
        <f t="shared" ca="1" si="4"/>
        <v>118.88919261647615</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topLeftCell="A7" workbookViewId="0">
      <selection activeCell="K9" sqref="K9"/>
    </sheetView>
  </sheetViews>
  <sheetFormatPr defaultRowHeight="15" x14ac:dyDescent="0.25"/>
  <cols>
    <col min="1" max="1" width="24.85546875" customWidth="1"/>
    <col min="2" max="2" width="11" customWidth="1"/>
  </cols>
  <sheetData>
    <row r="1" spans="1:17" ht="18.75" x14ac:dyDescent="0.3">
      <c r="A1" s="81" t="s">
        <v>147</v>
      </c>
      <c r="B1" s="81"/>
      <c r="C1" s="81"/>
      <c r="D1" s="81"/>
      <c r="E1" s="81"/>
      <c r="F1" s="81"/>
    </row>
    <row r="2" spans="1:17" x14ac:dyDescent="0.25">
      <c r="F2" t="s">
        <v>158</v>
      </c>
    </row>
    <row r="3" spans="1:17" x14ac:dyDescent="0.25">
      <c r="A3" s="2" t="s">
        <v>50</v>
      </c>
      <c r="B3" s="2" t="s">
        <v>153</v>
      </c>
      <c r="C3" s="2" t="s">
        <v>2</v>
      </c>
      <c r="D3" s="2" t="s">
        <v>3</v>
      </c>
      <c r="E3" s="2" t="s">
        <v>4</v>
      </c>
      <c r="F3" s="2" t="s">
        <v>5</v>
      </c>
      <c r="G3" s="52" t="s">
        <v>6</v>
      </c>
      <c r="H3" s="52" t="s">
        <v>7</v>
      </c>
      <c r="I3" s="52" t="s">
        <v>535</v>
      </c>
    </row>
    <row r="4" spans="1:17" x14ac:dyDescent="0.25">
      <c r="A4" t="s">
        <v>428</v>
      </c>
      <c r="B4" t="s">
        <v>154</v>
      </c>
      <c r="C4" s="6">
        <f>'Raw Material'!B19</f>
        <v>11.158333333333333</v>
      </c>
      <c r="D4" s="6">
        <f>'Raw Material'!C19</f>
        <v>18.829687500000002</v>
      </c>
      <c r="E4" s="6">
        <f>'Raw Material'!D19</f>
        <v>20.921875</v>
      </c>
      <c r="F4" s="6">
        <f>'Raw Material'!E19</f>
        <v>21.967968750000001</v>
      </c>
      <c r="G4" s="6">
        <f>'Raw Material'!F19</f>
        <v>23.014062500000005</v>
      </c>
      <c r="H4" s="6">
        <f>'Raw Material'!G19</f>
        <v>24.060156250000002</v>
      </c>
      <c r="I4" s="6">
        <f>'Raw Material'!H19</f>
        <v>25.106250000000003</v>
      </c>
    </row>
    <row r="5" spans="1:17" x14ac:dyDescent="0.25">
      <c r="A5" t="s">
        <v>24</v>
      </c>
      <c r="B5" t="s">
        <v>155</v>
      </c>
      <c r="C5">
        <v>0.04</v>
      </c>
      <c r="D5">
        <v>0.04</v>
      </c>
      <c r="E5">
        <v>0.04</v>
      </c>
      <c r="F5" s="6">
        <v>0.04</v>
      </c>
      <c r="G5" s="6">
        <f>F5</f>
        <v>0.04</v>
      </c>
      <c r="H5" s="6">
        <f t="shared" ref="H5:I5" si="0">G5</f>
        <v>0.04</v>
      </c>
      <c r="I5" s="6">
        <f t="shared" si="0"/>
        <v>0.04</v>
      </c>
    </row>
    <row r="6" spans="1:17" x14ac:dyDescent="0.25">
      <c r="A6" t="s">
        <v>148</v>
      </c>
      <c r="B6" t="s">
        <v>156</v>
      </c>
      <c r="C6" s="6">
        <f>'Sales Realisation'!B46</f>
        <v>4.0599999999999996</v>
      </c>
      <c r="D6" s="6">
        <f>'Sales Realisation'!C46</f>
        <v>4.3499999999999996</v>
      </c>
      <c r="E6" s="6">
        <f>'Sales Realisation'!D46</f>
        <v>4.6500000000000004</v>
      </c>
      <c r="F6" s="6">
        <f>'Sales Realisation'!E46</f>
        <v>4.95</v>
      </c>
      <c r="G6" s="6">
        <v>5.2693548387096776</v>
      </c>
      <c r="H6" s="6">
        <v>5.6093132154006238</v>
      </c>
      <c r="I6" s="6">
        <v>5.9712043905877605</v>
      </c>
    </row>
    <row r="7" spans="1:17" x14ac:dyDescent="0.25">
      <c r="A7" t="s">
        <v>149</v>
      </c>
      <c r="B7" t="s">
        <v>157</v>
      </c>
      <c r="C7">
        <f>'Sales Realisation'!B48</f>
        <v>19.64</v>
      </c>
      <c r="D7">
        <f>'Sales Realisation'!C48</f>
        <v>20.93</v>
      </c>
      <c r="E7">
        <f>'Sales Realisation'!D48</f>
        <v>22.22</v>
      </c>
      <c r="F7" s="6">
        <f>'Sales Realisation'!E48</f>
        <v>23.5</v>
      </c>
      <c r="G7" s="6">
        <f>'Sales Realisation'!F48</f>
        <v>18.810000000000002</v>
      </c>
      <c r="H7" s="6">
        <f>'Sales Realisation'!G48</f>
        <v>19.665000000000003</v>
      </c>
      <c r="I7" s="6">
        <f>'Sales Realisation'!H48</f>
        <v>20.520000000000007</v>
      </c>
    </row>
    <row r="8" spans="1:17" x14ac:dyDescent="0.25">
      <c r="A8" t="s">
        <v>150</v>
      </c>
      <c r="B8" t="s">
        <v>154</v>
      </c>
      <c r="C8" s="6">
        <f>K8*'Sales Realisation'!B51</f>
        <v>16.344000000000001</v>
      </c>
      <c r="D8" s="6">
        <f>L8*'Sales Realisation'!C51</f>
        <v>30.653599999999997</v>
      </c>
      <c r="E8" s="6">
        <f>M8*'Sales Realisation'!D51</f>
        <v>34.072800000000008</v>
      </c>
      <c r="F8" s="6">
        <f>N8*'Sales Realisation'!E51</f>
        <v>35.7836</v>
      </c>
      <c r="G8" s="6">
        <f ca="1">O8*'Sales Realisation'!F51</f>
        <v>37.9784022886071</v>
      </c>
      <c r="H8" s="6">
        <f ca="1">P8*'Sales Realisation'!G51</f>
        <v>39.736229316654651</v>
      </c>
      <c r="I8" s="6">
        <f ca="1">Q8*'Sales Realisation'!H51</f>
        <v>41.501286990673989</v>
      </c>
      <c r="K8" s="34">
        <v>0.08</v>
      </c>
      <c r="L8" s="34">
        <v>0.08</v>
      </c>
      <c r="M8" s="34">
        <v>0.08</v>
      </c>
      <c r="N8" s="34">
        <v>0.08</v>
      </c>
      <c r="O8" s="34">
        <v>0.08</v>
      </c>
      <c r="P8" s="34">
        <v>0.08</v>
      </c>
      <c r="Q8" s="34">
        <v>0.08</v>
      </c>
    </row>
    <row r="9" spans="1:17" x14ac:dyDescent="0.25">
      <c r="G9" s="6"/>
    </row>
    <row r="10" spans="1:17" x14ac:dyDescent="0.25">
      <c r="A10" s="49" t="s">
        <v>151</v>
      </c>
      <c r="B10" s="47"/>
      <c r="C10" s="47">
        <f>SUM(C4:C8)</f>
        <v>51.242333333333335</v>
      </c>
      <c r="D10" s="47">
        <f t="shared" ref="D10:F10" si="1">SUM(D4:D8)</f>
        <v>74.803287499999996</v>
      </c>
      <c r="E10" s="47">
        <f t="shared" si="1"/>
        <v>81.904674999999997</v>
      </c>
      <c r="F10" s="47">
        <f t="shared" si="1"/>
        <v>86.241568749999999</v>
      </c>
      <c r="G10" s="47">
        <f>33.48+0.04+5.27+25.2+62.84</f>
        <v>126.83</v>
      </c>
      <c r="H10" s="47">
        <f>35.57+0.04+5.61+26.78+66.78</f>
        <v>134.78</v>
      </c>
      <c r="I10" s="47">
        <f>37.66+0.04+5.97+28.35+70.73</f>
        <v>142.75</v>
      </c>
    </row>
    <row r="11" spans="1:17" x14ac:dyDescent="0.25">
      <c r="G11" s="6"/>
    </row>
    <row r="12" spans="1:17" x14ac:dyDescent="0.25">
      <c r="A12" t="s">
        <v>152</v>
      </c>
      <c r="B12" t="s">
        <v>157</v>
      </c>
      <c r="C12" s="6">
        <f t="shared" ref="C12:H12" si="2">C4/2</f>
        <v>5.5791666666666666</v>
      </c>
      <c r="D12" s="6">
        <f t="shared" si="2"/>
        <v>9.4148437500000011</v>
      </c>
      <c r="E12" s="6">
        <f t="shared" si="2"/>
        <v>10.4609375</v>
      </c>
      <c r="F12" s="6">
        <f t="shared" si="2"/>
        <v>10.983984375</v>
      </c>
      <c r="G12" s="6">
        <f t="shared" si="2"/>
        <v>11.507031250000002</v>
      </c>
      <c r="H12" s="6">
        <f t="shared" si="2"/>
        <v>12.030078125000001</v>
      </c>
      <c r="I12" s="6">
        <f t="shared" ref="I12" si="3">I4/2</f>
        <v>12.553125000000001</v>
      </c>
      <c r="M12" s="6"/>
    </row>
    <row r="14" spans="1:17" x14ac:dyDescent="0.25">
      <c r="A14" s="49" t="s">
        <v>159</v>
      </c>
      <c r="B14" s="47"/>
      <c r="C14" s="47">
        <f>C10-C12</f>
        <v>45.663166666666669</v>
      </c>
      <c r="D14" s="47">
        <f t="shared" ref="D14:I14" si="4">D10-D12</f>
        <v>65.388443749999993</v>
      </c>
      <c r="E14" s="47">
        <f t="shared" si="4"/>
        <v>71.443737499999997</v>
      </c>
      <c r="F14" s="47">
        <f t="shared" si="4"/>
        <v>75.257584374999993</v>
      </c>
      <c r="G14" s="47">
        <f t="shared" si="4"/>
        <v>115.32296875</v>
      </c>
      <c r="H14" s="47">
        <f t="shared" si="4"/>
        <v>122.749921875</v>
      </c>
      <c r="I14" s="47">
        <f t="shared" si="4"/>
        <v>130.19687500000001</v>
      </c>
    </row>
    <row r="17" spans="1:10" x14ac:dyDescent="0.25">
      <c r="A17" t="s">
        <v>160</v>
      </c>
      <c r="C17">
        <v>31.62</v>
      </c>
      <c r="D17">
        <v>34.65</v>
      </c>
      <c r="E17">
        <v>36.94</v>
      </c>
      <c r="F17">
        <v>39.229999999999997</v>
      </c>
      <c r="H17" s="34">
        <f>D17/C17-1</f>
        <v>9.5825426944971426E-2</v>
      </c>
      <c r="I17" s="34">
        <f t="shared" ref="I17:J17" si="5">E17/D17-1</f>
        <v>6.6089466089465976E-2</v>
      </c>
      <c r="J17" s="34">
        <f t="shared" si="5"/>
        <v>6.1992420140768889E-2</v>
      </c>
    </row>
    <row r="18" spans="1:10" x14ac:dyDescent="0.25">
      <c r="A18" t="s">
        <v>161</v>
      </c>
      <c r="C18">
        <v>52.55</v>
      </c>
      <c r="D18">
        <v>57.41</v>
      </c>
      <c r="E18">
        <v>61.17</v>
      </c>
      <c r="F18">
        <v>64.92</v>
      </c>
    </row>
    <row r="19" spans="1:10" x14ac:dyDescent="0.25">
      <c r="A19" t="s">
        <v>162</v>
      </c>
      <c r="C19" s="6">
        <v>50</v>
      </c>
      <c r="D19" s="6">
        <v>50</v>
      </c>
      <c r="E19" s="6">
        <v>50</v>
      </c>
      <c r="F19" s="6">
        <v>50</v>
      </c>
    </row>
    <row r="21" spans="1:10" x14ac:dyDescent="0.25">
      <c r="A21" s="49" t="s">
        <v>163</v>
      </c>
      <c r="B21" s="47"/>
      <c r="C21" s="47">
        <v>50</v>
      </c>
      <c r="D21" s="47">
        <v>50</v>
      </c>
      <c r="E21" s="47">
        <v>50</v>
      </c>
      <c r="F21" s="47">
        <v>50</v>
      </c>
    </row>
    <row r="23" spans="1:10" x14ac:dyDescent="0.25">
      <c r="A23" t="s">
        <v>164</v>
      </c>
      <c r="C23" s="6">
        <v>4.25</v>
      </c>
      <c r="D23" s="6">
        <v>4.25</v>
      </c>
      <c r="E23" s="6">
        <v>4.25</v>
      </c>
      <c r="F23" s="6">
        <v>4.25</v>
      </c>
    </row>
    <row r="27" spans="1:10" x14ac:dyDescent="0.25">
      <c r="C27">
        <v>4.0599999999999996</v>
      </c>
      <c r="D27">
        <v>4.3499999999999996</v>
      </c>
      <c r="E27">
        <v>4.6500000000000004</v>
      </c>
      <c r="F27">
        <v>4.95</v>
      </c>
      <c r="G27">
        <v>5.2693548387096776</v>
      </c>
      <c r="H27">
        <v>5.6093132154006238</v>
      </c>
      <c r="I27">
        <v>5.9712043905877605</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workbookViewId="0">
      <selection activeCell="F8" sqref="F8"/>
    </sheetView>
  </sheetViews>
  <sheetFormatPr defaultRowHeight="15" x14ac:dyDescent="0.25"/>
  <cols>
    <col min="1" max="1" width="38.7109375" customWidth="1"/>
    <col min="3" max="3" width="10.5703125" customWidth="1"/>
    <col min="8" max="8" width="12.140625" bestFit="1" customWidth="1"/>
  </cols>
  <sheetData>
    <row r="1" spans="1:11" ht="18.75" x14ac:dyDescent="0.3">
      <c r="A1" s="81" t="s">
        <v>49</v>
      </c>
      <c r="B1" s="81"/>
      <c r="C1" s="81"/>
      <c r="D1" s="81"/>
      <c r="E1" s="81"/>
      <c r="F1" s="81"/>
      <c r="G1" s="81"/>
      <c r="H1" s="81"/>
    </row>
    <row r="2" spans="1:11" x14ac:dyDescent="0.25">
      <c r="A2" s="2" t="s">
        <v>50</v>
      </c>
      <c r="B2" s="2" t="s">
        <v>51</v>
      </c>
      <c r="C2" s="2" t="s">
        <v>52</v>
      </c>
      <c r="D2" s="2" t="s">
        <v>53</v>
      </c>
      <c r="E2" s="2" t="s">
        <v>54</v>
      </c>
      <c r="F2" s="2" t="s">
        <v>55</v>
      </c>
      <c r="G2" s="2" t="s">
        <v>56</v>
      </c>
      <c r="H2" s="2" t="s">
        <v>57</v>
      </c>
    </row>
    <row r="3" spans="1:11" x14ac:dyDescent="0.25">
      <c r="A3" s="10"/>
      <c r="B3" s="10"/>
      <c r="C3" s="10"/>
      <c r="D3" s="10"/>
      <c r="E3" s="10"/>
      <c r="F3" s="10"/>
      <c r="G3" s="10"/>
      <c r="H3" s="10"/>
    </row>
    <row r="4" spans="1:11" x14ac:dyDescent="0.25">
      <c r="A4" s="10" t="s">
        <v>58</v>
      </c>
      <c r="B4" s="12">
        <v>13.64</v>
      </c>
      <c r="C4" s="12">
        <v>0</v>
      </c>
      <c r="D4" s="12">
        <f>B4+C4</f>
        <v>13.64</v>
      </c>
      <c r="E4" s="12">
        <v>13.64</v>
      </c>
      <c r="F4" s="12">
        <v>0</v>
      </c>
      <c r="G4" s="16">
        <v>1</v>
      </c>
      <c r="H4" s="12">
        <v>0</v>
      </c>
    </row>
    <row r="5" spans="1:11" x14ac:dyDescent="0.25">
      <c r="A5" s="10" t="s">
        <v>59</v>
      </c>
      <c r="B5" s="12">
        <v>0</v>
      </c>
      <c r="C5" s="12">
        <v>0</v>
      </c>
      <c r="D5" s="12">
        <f t="shared" ref="D5:D12" si="0">B5+C5</f>
        <v>0</v>
      </c>
      <c r="E5" s="12">
        <v>0</v>
      </c>
      <c r="F5" s="12">
        <v>0</v>
      </c>
      <c r="G5" s="16">
        <v>1</v>
      </c>
      <c r="H5" s="12">
        <v>0</v>
      </c>
    </row>
    <row r="6" spans="1:11" x14ac:dyDescent="0.25">
      <c r="A6" s="10" t="s">
        <v>60</v>
      </c>
      <c r="B6" s="12">
        <f>B4+B5</f>
        <v>13.64</v>
      </c>
      <c r="C6" s="12">
        <f t="shared" ref="C6:H6" si="1">C4+C5</f>
        <v>0</v>
      </c>
      <c r="D6" s="12">
        <f t="shared" si="0"/>
        <v>13.64</v>
      </c>
      <c r="E6" s="12">
        <f t="shared" si="1"/>
        <v>13.64</v>
      </c>
      <c r="F6" s="12">
        <f t="shared" si="1"/>
        <v>0</v>
      </c>
      <c r="G6" s="16">
        <v>1</v>
      </c>
      <c r="H6" s="12">
        <f t="shared" si="1"/>
        <v>0</v>
      </c>
    </row>
    <row r="7" spans="1:11" x14ac:dyDescent="0.25">
      <c r="A7" s="10" t="s">
        <v>61</v>
      </c>
      <c r="B7" s="12">
        <v>0</v>
      </c>
      <c r="C7" s="12">
        <v>63</v>
      </c>
      <c r="D7" s="12">
        <f t="shared" si="0"/>
        <v>63</v>
      </c>
      <c r="E7" s="10">
        <v>25.61</v>
      </c>
      <c r="F7" s="10">
        <v>37.39</v>
      </c>
      <c r="G7" s="14">
        <v>0.4</v>
      </c>
      <c r="H7" s="10">
        <v>37.39</v>
      </c>
    </row>
    <row r="8" spans="1:11" x14ac:dyDescent="0.25">
      <c r="A8" s="10" t="s">
        <v>62</v>
      </c>
      <c r="B8" s="12">
        <v>53.03</v>
      </c>
      <c r="C8" s="12">
        <v>200.7</v>
      </c>
      <c r="D8" s="12">
        <f t="shared" si="0"/>
        <v>253.73</v>
      </c>
      <c r="E8" s="12">
        <v>113.24</v>
      </c>
      <c r="F8" s="12">
        <v>140.49</v>
      </c>
      <c r="G8" s="14">
        <v>0.3</v>
      </c>
      <c r="H8" s="12">
        <v>177.61</v>
      </c>
    </row>
    <row r="9" spans="1:11" x14ac:dyDescent="0.25">
      <c r="A9" s="10" t="s">
        <v>63</v>
      </c>
      <c r="B9" s="12">
        <v>0</v>
      </c>
      <c r="C9" s="12">
        <v>2.2000000000000002</v>
      </c>
      <c r="D9" s="12">
        <f t="shared" si="0"/>
        <v>2.2000000000000002</v>
      </c>
      <c r="E9" s="12">
        <v>2.2000000000000002</v>
      </c>
      <c r="F9" s="12">
        <v>0</v>
      </c>
      <c r="G9" s="14">
        <v>1</v>
      </c>
      <c r="H9" s="12">
        <v>0</v>
      </c>
    </row>
    <row r="10" spans="1:11" x14ac:dyDescent="0.25">
      <c r="A10" s="10" t="s">
        <v>64</v>
      </c>
      <c r="B10" s="12">
        <v>0</v>
      </c>
      <c r="C10" s="12">
        <v>1</v>
      </c>
      <c r="D10" s="12">
        <f t="shared" si="0"/>
        <v>1</v>
      </c>
      <c r="E10" s="12">
        <v>1</v>
      </c>
      <c r="F10" s="12">
        <v>0</v>
      </c>
      <c r="G10" s="14">
        <v>1</v>
      </c>
      <c r="H10" s="12">
        <v>0</v>
      </c>
    </row>
    <row r="11" spans="1:11" x14ac:dyDescent="0.25">
      <c r="A11" s="10" t="s">
        <v>65</v>
      </c>
      <c r="B11" s="12">
        <v>0</v>
      </c>
      <c r="C11" s="12">
        <v>6.33</v>
      </c>
      <c r="D11" s="12">
        <f t="shared" si="0"/>
        <v>6.33</v>
      </c>
      <c r="E11" s="12">
        <v>6.33</v>
      </c>
      <c r="F11" s="12">
        <v>0</v>
      </c>
      <c r="G11" s="14">
        <v>1</v>
      </c>
      <c r="H11" s="12">
        <v>0</v>
      </c>
      <c r="K11" s="5">
        <f>D11/D14</f>
        <v>1.6921966476862619E-2</v>
      </c>
    </row>
    <row r="12" spans="1:11" x14ac:dyDescent="0.25">
      <c r="A12" s="10" t="s">
        <v>66</v>
      </c>
      <c r="B12" s="12">
        <v>0</v>
      </c>
      <c r="C12" s="12">
        <v>34.17</v>
      </c>
      <c r="D12" s="12">
        <f t="shared" si="0"/>
        <v>34.17</v>
      </c>
      <c r="E12" s="12">
        <v>34.17</v>
      </c>
      <c r="F12" s="12">
        <v>0</v>
      </c>
      <c r="G12" s="14">
        <v>1</v>
      </c>
      <c r="H12" s="12">
        <v>0</v>
      </c>
    </row>
    <row r="13" spans="1:11" x14ac:dyDescent="0.25">
      <c r="A13" s="10"/>
      <c r="B13" s="10"/>
      <c r="C13" s="10"/>
      <c r="D13" s="10"/>
      <c r="E13" s="10"/>
      <c r="F13" s="10"/>
      <c r="G13" s="10"/>
      <c r="H13" s="10"/>
    </row>
    <row r="14" spans="1:11" x14ac:dyDescent="0.25">
      <c r="A14" s="23" t="s">
        <v>130</v>
      </c>
      <c r="B14" s="27">
        <f>SUM(B6:B12)</f>
        <v>66.67</v>
      </c>
      <c r="C14" s="27">
        <f t="shared" ref="C14:H14" si="2">SUM(C6:C12)</f>
        <v>307.39999999999998</v>
      </c>
      <c r="D14" s="27">
        <f t="shared" si="2"/>
        <v>374.07</v>
      </c>
      <c r="E14" s="27">
        <f t="shared" si="2"/>
        <v>196.19</v>
      </c>
      <c r="F14" s="27">
        <f t="shared" si="2"/>
        <v>177.88</v>
      </c>
      <c r="G14" s="23"/>
      <c r="H14" s="27">
        <f t="shared" si="2"/>
        <v>215</v>
      </c>
    </row>
    <row r="17" spans="1:2" x14ac:dyDescent="0.25">
      <c r="A17" s="2" t="s">
        <v>67</v>
      </c>
      <c r="B17" s="2" t="s">
        <v>450</v>
      </c>
    </row>
    <row r="18" spans="1:2" x14ac:dyDescent="0.25">
      <c r="A18" s="10" t="s">
        <v>68</v>
      </c>
      <c r="B18" s="10">
        <v>159.07</v>
      </c>
    </row>
    <row r="19" spans="1:2" x14ac:dyDescent="0.25">
      <c r="A19" s="10" t="s">
        <v>69</v>
      </c>
      <c r="B19" s="12">
        <v>0</v>
      </c>
    </row>
    <row r="20" spans="1:2" x14ac:dyDescent="0.25">
      <c r="A20" s="10" t="s">
        <v>70</v>
      </c>
      <c r="B20" s="12">
        <v>215</v>
      </c>
    </row>
    <row r="21" spans="1:2" x14ac:dyDescent="0.25">
      <c r="A21" s="23" t="s">
        <v>71</v>
      </c>
      <c r="B21" s="27">
        <f>SUM(B18:B20)</f>
        <v>374.07</v>
      </c>
    </row>
    <row r="23" spans="1:2" x14ac:dyDescent="0.25">
      <c r="A23" s="10" t="s">
        <v>72</v>
      </c>
      <c r="B23" s="10">
        <v>1.35</v>
      </c>
    </row>
    <row r="24" spans="1:2" x14ac:dyDescent="0.25">
      <c r="A24" s="10" t="s">
        <v>73</v>
      </c>
      <c r="B24" s="13">
        <v>2.4E-2</v>
      </c>
    </row>
    <row r="25" spans="1:2" x14ac:dyDescent="0.25">
      <c r="A25" s="10" t="s">
        <v>74</v>
      </c>
      <c r="B25" s="14">
        <v>0.43</v>
      </c>
    </row>
    <row r="27" spans="1:2" x14ac:dyDescent="0.25">
      <c r="A27" s="2" t="s">
        <v>75</v>
      </c>
      <c r="B27" s="2" t="s">
        <v>450</v>
      </c>
    </row>
    <row r="28" spans="1:2" x14ac:dyDescent="0.25">
      <c r="A28" s="10" t="s">
        <v>77</v>
      </c>
      <c r="B28" s="12">
        <v>215</v>
      </c>
    </row>
    <row r="29" spans="1:2" x14ac:dyDescent="0.25">
      <c r="A29" s="10" t="s">
        <v>78</v>
      </c>
      <c r="B29" s="12">
        <v>50</v>
      </c>
    </row>
    <row r="30" spans="1:2" x14ac:dyDescent="0.25">
      <c r="A30" s="10" t="s">
        <v>79</v>
      </c>
      <c r="B30" s="12">
        <f>B28+B29</f>
        <v>265</v>
      </c>
    </row>
    <row r="31" spans="1:2" x14ac:dyDescent="0.25">
      <c r="A31" s="10"/>
      <c r="B31" s="10"/>
    </row>
    <row r="32" spans="1:2" x14ac:dyDescent="0.25">
      <c r="A32" s="10" t="s">
        <v>80</v>
      </c>
      <c r="B32" s="10"/>
    </row>
    <row r="33" spans="1:4" x14ac:dyDescent="0.25">
      <c r="A33" s="10" t="s">
        <v>81</v>
      </c>
      <c r="B33" s="12">
        <v>0</v>
      </c>
    </row>
    <row r="34" spans="1:4" x14ac:dyDescent="0.25">
      <c r="A34" s="10" t="s">
        <v>82</v>
      </c>
      <c r="B34" s="12">
        <v>100</v>
      </c>
    </row>
    <row r="35" spans="1:4" x14ac:dyDescent="0.25">
      <c r="A35" s="10"/>
      <c r="B35" s="12"/>
    </row>
    <row r="36" spans="1:4" x14ac:dyDescent="0.25">
      <c r="A36" s="23" t="s">
        <v>83</v>
      </c>
      <c r="B36" s="27">
        <f>B30+B33+B34</f>
        <v>365</v>
      </c>
    </row>
    <row r="38" spans="1:4" x14ac:dyDescent="0.25">
      <c r="A38" s="2" t="s">
        <v>90</v>
      </c>
      <c r="B38" s="2" t="s">
        <v>449</v>
      </c>
      <c r="C38" s="2" t="s">
        <v>1</v>
      </c>
      <c r="D38" s="2" t="s">
        <v>2</v>
      </c>
    </row>
    <row r="39" spans="1:4" x14ac:dyDescent="0.25">
      <c r="A39" s="10" t="s">
        <v>85</v>
      </c>
      <c r="B39" s="12">
        <v>44.4</v>
      </c>
      <c r="C39" s="12">
        <v>44.4</v>
      </c>
      <c r="D39" s="12">
        <v>0</v>
      </c>
    </row>
    <row r="40" spans="1:4" x14ac:dyDescent="0.25">
      <c r="A40" s="10" t="s">
        <v>86</v>
      </c>
      <c r="B40" s="10">
        <v>13.51</v>
      </c>
      <c r="C40" s="10">
        <v>13.51</v>
      </c>
      <c r="D40" s="12">
        <v>0</v>
      </c>
    </row>
    <row r="41" spans="1:4" x14ac:dyDescent="0.25">
      <c r="A41" s="10" t="s">
        <v>87</v>
      </c>
      <c r="B41" s="10">
        <v>20.23</v>
      </c>
      <c r="C41" s="10">
        <v>13.5</v>
      </c>
      <c r="D41" s="10">
        <v>6.74</v>
      </c>
    </row>
    <row r="42" spans="1:4" x14ac:dyDescent="0.25">
      <c r="A42" s="10" t="s">
        <v>88</v>
      </c>
      <c r="B42" s="10"/>
      <c r="C42" s="10"/>
      <c r="D42" s="10"/>
    </row>
    <row r="43" spans="1:4" x14ac:dyDescent="0.25">
      <c r="A43" s="10" t="s">
        <v>89</v>
      </c>
      <c r="B43" s="10">
        <v>80.930000000000007</v>
      </c>
      <c r="C43" s="10">
        <v>53.98</v>
      </c>
      <c r="D43" s="10">
        <v>26.95</v>
      </c>
    </row>
    <row r="44" spans="1:4" x14ac:dyDescent="0.25">
      <c r="A44" s="23"/>
      <c r="B44" s="23">
        <f>B39+B40+B41+B43</f>
        <v>159.07</v>
      </c>
      <c r="C44" s="27">
        <f>C39+C40+C41+C43</f>
        <v>125.38999999999999</v>
      </c>
      <c r="D44" s="23">
        <f>D39+D40+D41+D43</f>
        <v>33.69</v>
      </c>
    </row>
    <row r="47" spans="1:4" x14ac:dyDescent="0.25">
      <c r="A47" s="2" t="s">
        <v>91</v>
      </c>
      <c r="B47" s="2" t="s">
        <v>451</v>
      </c>
    </row>
    <row r="48" spans="1:4" ht="150" x14ac:dyDescent="0.25">
      <c r="A48" s="11" t="s">
        <v>84</v>
      </c>
      <c r="B48" s="17" t="s">
        <v>92</v>
      </c>
    </row>
    <row r="50" spans="1:2" x14ac:dyDescent="0.25">
      <c r="A50" s="2" t="s">
        <v>93</v>
      </c>
      <c r="B50" s="2"/>
    </row>
    <row r="51" spans="1:2" x14ac:dyDescent="0.25">
      <c r="A51" s="10" t="s">
        <v>94</v>
      </c>
      <c r="B51" s="10" t="s">
        <v>95</v>
      </c>
    </row>
    <row r="52" spans="1:2" ht="120" x14ac:dyDescent="0.25">
      <c r="A52" s="11" t="s">
        <v>96</v>
      </c>
      <c r="B52" s="12">
        <v>63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33"/>
  <sheetViews>
    <sheetView topLeftCell="A16" workbookViewId="0">
      <selection activeCell="C27" sqref="C27"/>
    </sheetView>
  </sheetViews>
  <sheetFormatPr defaultRowHeight="15" x14ac:dyDescent="0.25"/>
  <cols>
    <col min="3" max="3" width="9.7109375" bestFit="1" customWidth="1"/>
    <col min="13" max="15" width="9.85546875" bestFit="1" customWidth="1"/>
    <col min="16" max="20" width="10" bestFit="1" customWidth="1"/>
  </cols>
  <sheetData>
    <row r="1" spans="1:21" ht="18.75" x14ac:dyDescent="0.3">
      <c r="A1" s="81" t="s">
        <v>317</v>
      </c>
      <c r="B1" s="81"/>
      <c r="C1" s="81"/>
      <c r="D1" s="81"/>
      <c r="E1" s="81"/>
      <c r="F1" s="81"/>
      <c r="G1" s="81"/>
      <c r="H1" s="81"/>
      <c r="I1" s="81"/>
      <c r="J1" s="81"/>
      <c r="K1" s="81"/>
    </row>
    <row r="2" spans="1:21" x14ac:dyDescent="0.25">
      <c r="D2" s="4" t="s">
        <v>14</v>
      </c>
      <c r="E2" s="4" t="s">
        <v>15</v>
      </c>
      <c r="F2" s="4" t="s">
        <v>16</v>
      </c>
      <c r="G2" s="4" t="s">
        <v>17</v>
      </c>
      <c r="H2" s="4" t="s">
        <v>18</v>
      </c>
      <c r="I2" s="4" t="s">
        <v>19</v>
      </c>
      <c r="J2" s="4" t="s">
        <v>20</v>
      </c>
      <c r="M2" s="106" t="s">
        <v>539</v>
      </c>
      <c r="N2" s="39"/>
      <c r="O2" s="39"/>
      <c r="P2" s="39"/>
      <c r="Q2" s="39"/>
      <c r="R2" s="39"/>
      <c r="S2" s="39"/>
    </row>
    <row r="3" spans="1:21" x14ac:dyDescent="0.25">
      <c r="C3" t="s">
        <v>267</v>
      </c>
      <c r="D3" s="52" t="s">
        <v>2</v>
      </c>
      <c r="E3" s="52" t="s">
        <v>3</v>
      </c>
      <c r="F3" s="52" t="s">
        <v>4</v>
      </c>
      <c r="G3" s="52" t="s">
        <v>5</v>
      </c>
      <c r="H3" s="52" t="s">
        <v>6</v>
      </c>
      <c r="I3" s="52" t="s">
        <v>7</v>
      </c>
      <c r="J3" s="52" t="s">
        <v>535</v>
      </c>
      <c r="K3" s="2"/>
      <c r="M3" s="107">
        <v>45139</v>
      </c>
      <c r="N3" s="107">
        <v>45382</v>
      </c>
      <c r="O3" s="107">
        <v>45747</v>
      </c>
      <c r="P3" s="107">
        <v>46112</v>
      </c>
      <c r="Q3" s="107">
        <v>46477</v>
      </c>
      <c r="R3" s="107">
        <v>46843</v>
      </c>
      <c r="S3" s="107">
        <v>47208</v>
      </c>
      <c r="T3" s="107">
        <v>47573</v>
      </c>
      <c r="U3" s="100"/>
    </row>
    <row r="4" spans="1:21" x14ac:dyDescent="0.25">
      <c r="A4" s="128" t="s">
        <v>318</v>
      </c>
      <c r="B4" s="129"/>
      <c r="C4" s="58"/>
      <c r="D4" s="58"/>
      <c r="E4" s="58"/>
      <c r="F4" s="58"/>
      <c r="G4" s="58"/>
      <c r="H4" s="58"/>
      <c r="I4" s="58"/>
      <c r="J4" s="58"/>
      <c r="K4" s="58" t="s">
        <v>130</v>
      </c>
    </row>
    <row r="5" spans="1:21" x14ac:dyDescent="0.25">
      <c r="A5" s="10" t="s">
        <v>49</v>
      </c>
      <c r="B5" s="10"/>
      <c r="C5" s="29">
        <f>'Project Cost'!D6+'Project Cost'!D7+'Project Cost'!D8+'Project Cost'!D9++'Project Cost'!D10+'Project Cost'!D11</f>
        <v>339.9</v>
      </c>
      <c r="D5" s="29">
        <v>0</v>
      </c>
      <c r="E5" s="29">
        <v>0</v>
      </c>
      <c r="F5" s="29">
        <v>0</v>
      </c>
      <c r="G5" s="29">
        <v>0</v>
      </c>
      <c r="H5" s="29">
        <v>0</v>
      </c>
      <c r="I5" s="29">
        <v>0</v>
      </c>
      <c r="J5" s="29">
        <v>0</v>
      </c>
      <c r="K5" s="29">
        <f>SUM(C5:J5)</f>
        <v>339.9</v>
      </c>
    </row>
    <row r="6" spans="1:21" x14ac:dyDescent="0.25">
      <c r="A6" s="10" t="s">
        <v>319</v>
      </c>
      <c r="B6" s="10"/>
      <c r="C6" s="29">
        <v>0</v>
      </c>
      <c r="D6" s="80">
        <f>'Project Cost'!D12</f>
        <v>34.17</v>
      </c>
      <c r="E6" s="29">
        <v>0</v>
      </c>
      <c r="F6" s="29">
        <v>0</v>
      </c>
      <c r="G6" s="29">
        <v>0</v>
      </c>
      <c r="H6" s="29">
        <v>0</v>
      </c>
      <c r="I6" s="29">
        <v>0</v>
      </c>
      <c r="J6" s="29">
        <v>0</v>
      </c>
      <c r="K6" s="29">
        <f>SUM(C6:J6)</f>
        <v>34.17</v>
      </c>
    </row>
    <row r="7" spans="1:21" x14ac:dyDescent="0.25">
      <c r="A7" s="128" t="s">
        <v>130</v>
      </c>
      <c r="B7" s="129"/>
      <c r="C7" s="58">
        <f t="shared" ref="C7:K7" si="0">C5+C6</f>
        <v>339.9</v>
      </c>
      <c r="D7" s="58">
        <f t="shared" si="0"/>
        <v>34.17</v>
      </c>
      <c r="E7" s="53">
        <f t="shared" si="0"/>
        <v>0</v>
      </c>
      <c r="F7" s="58">
        <f t="shared" si="0"/>
        <v>0</v>
      </c>
      <c r="G7" s="53">
        <f t="shared" si="0"/>
        <v>0</v>
      </c>
      <c r="H7" s="58">
        <f t="shared" si="0"/>
        <v>0</v>
      </c>
      <c r="I7" s="58">
        <f t="shared" si="0"/>
        <v>0</v>
      </c>
      <c r="J7" s="58">
        <f t="shared" si="0"/>
        <v>0</v>
      </c>
      <c r="K7" s="61">
        <f t="shared" si="0"/>
        <v>374.07</v>
      </c>
    </row>
    <row r="9" spans="1:21" x14ac:dyDescent="0.25">
      <c r="A9" s="128" t="s">
        <v>320</v>
      </c>
      <c r="B9" s="129"/>
      <c r="C9" s="58"/>
      <c r="D9" s="58"/>
      <c r="E9" s="58"/>
      <c r="F9" s="58"/>
      <c r="G9" s="58"/>
      <c r="H9" s="58"/>
      <c r="I9" s="58"/>
      <c r="J9" s="58"/>
      <c r="K9" s="58"/>
    </row>
    <row r="10" spans="1:21" x14ac:dyDescent="0.25">
      <c r="A10" s="10" t="s">
        <v>321</v>
      </c>
      <c r="B10" s="10"/>
      <c r="C10" s="29">
        <v>0</v>
      </c>
      <c r="D10" s="29">
        <f>PL!Q15</f>
        <v>29.893470640000032</v>
      </c>
      <c r="E10" s="29">
        <f>PL!R15</f>
        <v>89.008101549999935</v>
      </c>
      <c r="F10" s="29">
        <f>PL!S15</f>
        <v>102.25904347500011</v>
      </c>
      <c r="G10" s="29">
        <f>PL!T15</f>
        <v>107.10697564874999</v>
      </c>
      <c r="H10" s="29">
        <f ca="1">PL!U15</f>
        <v>137.95780425633876</v>
      </c>
      <c r="I10" s="29">
        <f ca="1">PL!V15</f>
        <v>158.96664210693302</v>
      </c>
      <c r="J10" s="29">
        <f ca="1">PL!W15</f>
        <v>179.79626303217481</v>
      </c>
      <c r="K10" s="29">
        <f ca="1">SUM(C10:J10)</f>
        <v>804.98830070919666</v>
      </c>
    </row>
    <row r="11" spans="1:21" x14ac:dyDescent="0.25">
      <c r="A11" s="10" t="s">
        <v>322</v>
      </c>
      <c r="B11" s="10"/>
      <c r="C11" s="29">
        <v>0</v>
      </c>
      <c r="D11" s="29">
        <v>0</v>
      </c>
      <c r="E11" s="29">
        <v>0</v>
      </c>
      <c r="F11" s="29">
        <v>0</v>
      </c>
      <c r="G11" s="29">
        <v>0</v>
      </c>
      <c r="H11" s="29">
        <v>0</v>
      </c>
      <c r="I11" s="29">
        <v>0</v>
      </c>
      <c r="J11" s="29">
        <v>0</v>
      </c>
      <c r="K11" s="29">
        <f>SUM(C11:J11)</f>
        <v>0</v>
      </c>
    </row>
    <row r="12" spans="1:21" x14ac:dyDescent="0.25">
      <c r="A12" s="10" t="s">
        <v>323</v>
      </c>
      <c r="B12" s="10"/>
      <c r="C12" s="29">
        <v>0</v>
      </c>
      <c r="D12" s="29">
        <v>0</v>
      </c>
      <c r="E12" s="29">
        <v>0</v>
      </c>
      <c r="F12" s="29">
        <v>0</v>
      </c>
      <c r="G12" s="29">
        <v>0</v>
      </c>
      <c r="H12" s="29">
        <v>0</v>
      </c>
      <c r="I12" s="79">
        <v>108.19</v>
      </c>
      <c r="J12" s="79">
        <v>69.739999999999995</v>
      </c>
      <c r="K12" s="29">
        <f>SUM(C12:J12)</f>
        <v>177.93</v>
      </c>
    </row>
    <row r="13" spans="1:21" x14ac:dyDescent="0.25">
      <c r="A13" s="128" t="s">
        <v>130</v>
      </c>
      <c r="B13" s="129"/>
      <c r="C13" s="58">
        <f t="shared" ref="C13:K13" si="1">SUM(C10:C12)</f>
        <v>0</v>
      </c>
      <c r="D13" s="58">
        <f t="shared" si="1"/>
        <v>29.893470640000032</v>
      </c>
      <c r="E13" s="53">
        <f t="shared" si="1"/>
        <v>89.008101549999935</v>
      </c>
      <c r="F13" s="58">
        <f t="shared" si="1"/>
        <v>102.25904347500011</v>
      </c>
      <c r="G13" s="53">
        <f t="shared" si="1"/>
        <v>107.10697564874999</v>
      </c>
      <c r="H13" s="58">
        <f t="shared" ca="1" si="1"/>
        <v>137.95780425633876</v>
      </c>
      <c r="I13" s="58">
        <f t="shared" ca="1" si="1"/>
        <v>267.15664210693302</v>
      </c>
      <c r="J13" s="58">
        <f t="shared" ca="1" si="1"/>
        <v>249.53626303217482</v>
      </c>
      <c r="K13" s="61">
        <f t="shared" ca="1" si="1"/>
        <v>982.91830070919673</v>
      </c>
    </row>
    <row r="14" spans="1:21" x14ac:dyDescent="0.25">
      <c r="A14" s="128" t="s">
        <v>324</v>
      </c>
      <c r="B14" s="129"/>
      <c r="C14" s="58">
        <f t="shared" ref="C14:K14" si="2">C13-C7</f>
        <v>-339.9</v>
      </c>
      <c r="D14" s="58">
        <f t="shared" si="2"/>
        <v>-4.2765293599999694</v>
      </c>
      <c r="E14" s="53">
        <f t="shared" si="2"/>
        <v>89.008101549999935</v>
      </c>
      <c r="F14" s="58">
        <f t="shared" si="2"/>
        <v>102.25904347500011</v>
      </c>
      <c r="G14" s="53">
        <f t="shared" si="2"/>
        <v>107.10697564874999</v>
      </c>
      <c r="H14" s="58">
        <f t="shared" ca="1" si="2"/>
        <v>137.95780425633876</v>
      </c>
      <c r="I14" s="58">
        <f t="shared" ca="1" si="2"/>
        <v>267.15664210693302</v>
      </c>
      <c r="J14" s="58">
        <f t="shared" ca="1" si="2"/>
        <v>249.53626303217482</v>
      </c>
      <c r="K14" s="61">
        <f t="shared" ca="1" si="2"/>
        <v>608.84830070919679</v>
      </c>
    </row>
    <row r="15" spans="1:21" x14ac:dyDescent="0.25">
      <c r="K15" s="6"/>
    </row>
    <row r="16" spans="1:21" x14ac:dyDescent="0.25">
      <c r="A16" s="63" t="s">
        <v>325</v>
      </c>
      <c r="B16" s="63"/>
      <c r="C16" s="65">
        <v>0.20599999999999999</v>
      </c>
      <c r="D16" s="64">
        <f ca="1">IRR(C14:J14,0.1)</f>
        <v>0.23151379048952658</v>
      </c>
    </row>
    <row r="17" spans="1:17" x14ac:dyDescent="0.25">
      <c r="C17" s="5"/>
    </row>
    <row r="18" spans="1:17" x14ac:dyDescent="0.25">
      <c r="A18" s="68" t="s">
        <v>429</v>
      </c>
      <c r="B18" s="66"/>
      <c r="C18" s="12">
        <f>C14</f>
        <v>-339.9</v>
      </c>
      <c r="D18" s="12">
        <f t="shared" ref="D18:J18" si="3">D14</f>
        <v>-4.2765293599999694</v>
      </c>
      <c r="E18" s="12">
        <f t="shared" si="3"/>
        <v>89.008101549999935</v>
      </c>
      <c r="F18" s="12">
        <f t="shared" si="3"/>
        <v>102.25904347500011</v>
      </c>
      <c r="G18" s="12">
        <f t="shared" si="3"/>
        <v>107.10697564874999</v>
      </c>
      <c r="H18" s="12">
        <f t="shared" ca="1" si="3"/>
        <v>137.95780425633876</v>
      </c>
      <c r="I18" s="12">
        <f t="shared" ca="1" si="3"/>
        <v>267.15664210693302</v>
      </c>
      <c r="J18" s="12">
        <f t="shared" ca="1" si="3"/>
        <v>249.53626303217482</v>
      </c>
      <c r="Q18">
        <v>3</v>
      </c>
    </row>
    <row r="19" spans="1:17" x14ac:dyDescent="0.25">
      <c r="A19" s="69" t="s">
        <v>432</v>
      </c>
      <c r="B19" s="67"/>
      <c r="C19" s="14">
        <v>0.13</v>
      </c>
      <c r="D19" s="42" t="s">
        <v>437</v>
      </c>
      <c r="E19" s="42"/>
      <c r="F19" s="42"/>
      <c r="G19" s="42"/>
      <c r="H19" s="42"/>
      <c r="I19" s="10"/>
      <c r="J19" s="10"/>
      <c r="Q19">
        <v>22</v>
      </c>
    </row>
    <row r="20" spans="1:17" x14ac:dyDescent="0.25">
      <c r="A20" s="69" t="s">
        <v>433</v>
      </c>
      <c r="B20" s="67"/>
      <c r="C20" s="16">
        <v>0.01</v>
      </c>
      <c r="D20" s="42" t="s">
        <v>436</v>
      </c>
      <c r="E20" s="42"/>
      <c r="F20" s="42"/>
      <c r="G20" s="42"/>
      <c r="H20" s="42"/>
      <c r="I20" s="10"/>
      <c r="J20" s="10"/>
    </row>
    <row r="21" spans="1:17" x14ac:dyDescent="0.25">
      <c r="A21" s="130" t="s">
        <v>445</v>
      </c>
      <c r="B21" s="131"/>
      <c r="C21" s="10"/>
      <c r="D21" s="29">
        <f>8/12</f>
        <v>0.66666666666666663</v>
      </c>
      <c r="E21" s="29">
        <f>D21+1</f>
        <v>1.6666666666666665</v>
      </c>
      <c r="F21" s="29">
        <f t="shared" ref="F21:I21" si="4">E21+1</f>
        <v>2.6666666666666665</v>
      </c>
      <c r="G21" s="29">
        <f t="shared" si="4"/>
        <v>3.6666666666666665</v>
      </c>
      <c r="H21" s="29">
        <f t="shared" si="4"/>
        <v>4.6666666666666661</v>
      </c>
      <c r="I21" s="29">
        <f t="shared" si="4"/>
        <v>5.6666666666666661</v>
      </c>
      <c r="J21" s="29">
        <f t="shared" ref="J21" si="5">I21+1</f>
        <v>6.6666666666666661</v>
      </c>
      <c r="Q21" s="5">
        <f>Q19/Q18-1</f>
        <v>6.333333333333333</v>
      </c>
    </row>
    <row r="22" spans="1:17" x14ac:dyDescent="0.25">
      <c r="A22" s="25" t="s">
        <v>446</v>
      </c>
      <c r="B22" s="10"/>
      <c r="C22" s="10"/>
      <c r="D22" s="29">
        <f>1/(1+$C$19)^D21</f>
        <v>0.92175259938633536</v>
      </c>
      <c r="E22" s="29">
        <f t="shared" ref="E22:I22" si="6">1/(1+$C$19)^E21</f>
        <v>0.81571026494365972</v>
      </c>
      <c r="F22" s="29">
        <f t="shared" si="6"/>
        <v>0.7218674911005839</v>
      </c>
      <c r="G22" s="29">
        <f t="shared" si="6"/>
        <v>0.63882078858458768</v>
      </c>
      <c r="H22" s="29">
        <f t="shared" si="6"/>
        <v>0.56532813149078553</v>
      </c>
      <c r="I22" s="29">
        <f t="shared" si="6"/>
        <v>0.50029038185025276</v>
      </c>
      <c r="J22" s="29">
        <f t="shared" ref="J22" si="7">1/(1+$C$19)^J21</f>
        <v>0.44273485119491396</v>
      </c>
      <c r="N22">
        <f>3*10^7</f>
        <v>30000000</v>
      </c>
    </row>
    <row r="23" spans="1:17" x14ac:dyDescent="0.25">
      <c r="A23" s="41" t="s">
        <v>434</v>
      </c>
      <c r="B23" s="10"/>
      <c r="C23" s="12"/>
      <c r="D23" s="29">
        <f t="shared" ref="D23:J23" si="8">D22*D18</f>
        <v>-3.9419020539319529</v>
      </c>
      <c r="E23" s="29">
        <f t="shared" si="8"/>
        <v>72.604822097482611</v>
      </c>
      <c r="F23" s="29">
        <f t="shared" si="8"/>
        <v>73.817479155643866</v>
      </c>
      <c r="G23" s="29">
        <f t="shared" si="8"/>
        <v>68.422162646844697</v>
      </c>
      <c r="H23" s="29">
        <f t="shared" ca="1" si="8"/>
        <v>77.991427704807535</v>
      </c>
      <c r="I23" s="29">
        <f t="shared" ca="1" si="8"/>
        <v>133.65589849350883</v>
      </c>
      <c r="J23" s="29">
        <f t="shared" ca="1" si="8"/>
        <v>110.47840028128482</v>
      </c>
      <c r="N23">
        <f>18*10^7</f>
        <v>180000000</v>
      </c>
    </row>
    <row r="24" spans="1:17" x14ac:dyDescent="0.25">
      <c r="A24" s="41" t="s">
        <v>430</v>
      </c>
      <c r="B24" s="10"/>
      <c r="C24" s="10"/>
      <c r="D24" s="10"/>
      <c r="E24" s="10"/>
      <c r="F24" s="10"/>
      <c r="G24" s="10"/>
      <c r="H24" s="10"/>
      <c r="I24" s="10"/>
      <c r="J24" s="12">
        <f ca="1">J18*(1+C20)/(C19-C20)</f>
        <v>2100.2635471874714</v>
      </c>
    </row>
    <row r="25" spans="1:17" x14ac:dyDescent="0.25">
      <c r="A25" s="41" t="s">
        <v>547</v>
      </c>
      <c r="B25" s="10"/>
      <c r="C25" s="10"/>
      <c r="D25" s="10"/>
      <c r="E25" s="10"/>
      <c r="F25" s="10"/>
      <c r="G25" s="10"/>
      <c r="H25" s="10"/>
      <c r="I25" s="10"/>
      <c r="J25" s="12">
        <f ca="1">J24*J22</f>
        <v>929.85986903414732</v>
      </c>
      <c r="N25" s="5">
        <f>N23/N22-1</f>
        <v>5</v>
      </c>
    </row>
    <row r="26" spans="1:17" x14ac:dyDescent="0.25">
      <c r="A26" s="40" t="s">
        <v>431</v>
      </c>
      <c r="B26" s="10"/>
      <c r="C26" s="12">
        <f>C18</f>
        <v>-339.9</v>
      </c>
      <c r="D26" s="12">
        <f>D23+D24</f>
        <v>-3.9419020539319529</v>
      </c>
      <c r="E26" s="12">
        <f t="shared" ref="E26:I26" si="9">E23+E24</f>
        <v>72.604822097482611</v>
      </c>
      <c r="F26" s="12">
        <f t="shared" si="9"/>
        <v>73.817479155643866</v>
      </c>
      <c r="G26" s="12">
        <f t="shared" si="9"/>
        <v>68.422162646844697</v>
      </c>
      <c r="H26" s="12">
        <f t="shared" ca="1" si="9"/>
        <v>77.991427704807535</v>
      </c>
      <c r="I26" s="12">
        <f t="shared" ca="1" si="9"/>
        <v>133.65589849350883</v>
      </c>
      <c r="J26" s="12">
        <f ca="1">J23+J25</f>
        <v>1040.3382693154322</v>
      </c>
    </row>
    <row r="27" spans="1:17" x14ac:dyDescent="0.25">
      <c r="A27" s="124" t="s">
        <v>435</v>
      </c>
      <c r="B27" s="125"/>
      <c r="C27" s="12">
        <f ca="1">SUM(C26:J26)</f>
        <v>1122.9881573597877</v>
      </c>
      <c r="D27" s="10"/>
      <c r="E27" s="10"/>
      <c r="F27" s="10"/>
      <c r="G27" s="10"/>
      <c r="H27" s="10"/>
      <c r="I27" s="10"/>
      <c r="J27" s="10"/>
    </row>
    <row r="28" spans="1:17" hidden="1" x14ac:dyDescent="0.25">
      <c r="A28" s="126" t="s">
        <v>447</v>
      </c>
      <c r="B28" s="127"/>
      <c r="C28" s="64">
        <f ca="1">IRR(C26:J26,0.1)</f>
        <v>0.27994054328301288</v>
      </c>
      <c r="D28" s="10"/>
      <c r="E28" s="10"/>
      <c r="F28" s="10"/>
      <c r="G28" s="10"/>
      <c r="H28" s="10"/>
      <c r="I28" s="10"/>
      <c r="J28" s="10"/>
    </row>
    <row r="29" spans="1:17" x14ac:dyDescent="0.25">
      <c r="C29" s="108"/>
    </row>
    <row r="31" spans="1:17" x14ac:dyDescent="0.25">
      <c r="A31" s="123" t="s">
        <v>540</v>
      </c>
      <c r="B31" s="123"/>
      <c r="C31" s="105">
        <f ca="1">XIRR(C26:J26,M3:T3,0.5)</f>
        <v>0.30037184804677963</v>
      </c>
    </row>
    <row r="33" spans="1:1" x14ac:dyDescent="0.25">
      <c r="A33" t="s">
        <v>325</v>
      </c>
    </row>
  </sheetData>
  <mergeCells count="9">
    <mergeCell ref="A31:B31"/>
    <mergeCell ref="A27:B27"/>
    <mergeCell ref="A28:B28"/>
    <mergeCell ref="A4:B4"/>
    <mergeCell ref="A9:B9"/>
    <mergeCell ref="A7:B7"/>
    <mergeCell ref="A13:B13"/>
    <mergeCell ref="A14:B14"/>
    <mergeCell ref="A21:B21"/>
  </mergeCells>
  <pageMargins left="0.7" right="0.7" top="0.75" bottom="0.75" header="0.3" footer="0.3"/>
  <pageSetup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topLeftCell="C1" workbookViewId="0">
      <selection activeCell="D17" sqref="D17"/>
    </sheetView>
  </sheetViews>
  <sheetFormatPr defaultRowHeight="15" x14ac:dyDescent="0.25"/>
  <cols>
    <col min="3" max="3" width="17.28515625" bestFit="1" customWidth="1"/>
    <col min="10" max="10" width="12.42578125" customWidth="1"/>
  </cols>
  <sheetData>
    <row r="1" spans="1:10" ht="18.75" x14ac:dyDescent="0.3">
      <c r="A1" s="81" t="s">
        <v>312</v>
      </c>
      <c r="B1" s="81"/>
      <c r="C1" s="81"/>
      <c r="D1" s="81"/>
      <c r="E1" s="81"/>
      <c r="F1" s="81"/>
      <c r="G1" s="81"/>
      <c r="H1" s="81"/>
      <c r="I1" s="81"/>
      <c r="J1" s="81"/>
    </row>
    <row r="3" spans="1:10" x14ac:dyDescent="0.25">
      <c r="C3" s="4" t="s">
        <v>14</v>
      </c>
      <c r="D3" s="4" t="s">
        <v>15</v>
      </c>
      <c r="E3" s="4" t="s">
        <v>16</v>
      </c>
      <c r="F3" s="4" t="s">
        <v>17</v>
      </c>
      <c r="G3" s="4" t="s">
        <v>18</v>
      </c>
      <c r="H3" s="4" t="s">
        <v>19</v>
      </c>
      <c r="I3" s="4" t="s">
        <v>20</v>
      </c>
    </row>
    <row r="4" spans="1:10" x14ac:dyDescent="0.25">
      <c r="C4" s="52" t="s">
        <v>2</v>
      </c>
      <c r="D4" s="52" t="s">
        <v>3</v>
      </c>
      <c r="E4" s="52" t="s">
        <v>4</v>
      </c>
      <c r="F4" s="52" t="s">
        <v>5</v>
      </c>
      <c r="G4" s="52" t="s">
        <v>6</v>
      </c>
      <c r="H4" s="52" t="s">
        <v>7</v>
      </c>
      <c r="I4" s="52" t="s">
        <v>535</v>
      </c>
      <c r="J4" s="99" t="s">
        <v>130</v>
      </c>
    </row>
    <row r="5" spans="1:10" x14ac:dyDescent="0.25">
      <c r="A5" s="128" t="s">
        <v>268</v>
      </c>
      <c r="B5" s="129"/>
    </row>
    <row r="6" spans="1:10" x14ac:dyDescent="0.25">
      <c r="A6" s="10" t="s">
        <v>313</v>
      </c>
      <c r="B6" s="10"/>
      <c r="C6" s="29">
        <f>PL!B41</f>
        <v>25.783470640000047</v>
      </c>
      <c r="D6" s="29">
        <f>PL!C41</f>
        <v>59.853356770485078</v>
      </c>
      <c r="E6" s="29">
        <f>PL!D41</f>
        <v>68.950713779876324</v>
      </c>
      <c r="F6" s="29">
        <f>PL!E41</f>
        <v>72.637972157395367</v>
      </c>
      <c r="G6" s="29">
        <f ca="1">PL!F41</f>
        <v>94.767039170882967</v>
      </c>
      <c r="H6" s="29">
        <f ca="1">PL!G41</f>
        <v>110.44275075757081</v>
      </c>
      <c r="I6" s="29">
        <f ca="1">PL!H41</f>
        <v>126.35848246428917</v>
      </c>
      <c r="J6" s="80">
        <f ca="1">SUM(C6:I6)</f>
        <v>558.79378574049974</v>
      </c>
    </row>
    <row r="7" spans="1:10" x14ac:dyDescent="0.25">
      <c r="A7" s="10" t="s">
        <v>40</v>
      </c>
      <c r="B7" s="10"/>
      <c r="C7" s="29">
        <f>PL!B33</f>
        <v>0</v>
      </c>
      <c r="D7" s="29">
        <f>PL!C33</f>
        <v>17.374944387917754</v>
      </c>
      <c r="E7" s="29">
        <f>PL!D33</f>
        <v>14.853016061633596</v>
      </c>
      <c r="F7" s="29">
        <f>PL!E33</f>
        <v>12.109793665111074</v>
      </c>
      <c r="G7" s="29">
        <f>PL!F33</f>
        <v>9.1258590947457741</v>
      </c>
      <c r="H7" s="29">
        <f>PL!G33</f>
        <v>5.8800903479215227</v>
      </c>
      <c r="I7" s="29">
        <f>PL!H33</f>
        <v>2.3495120093450965</v>
      </c>
      <c r="J7" s="80">
        <f>SUM(C7:I7)</f>
        <v>61.693215566674816</v>
      </c>
    </row>
    <row r="8" spans="1:10" x14ac:dyDescent="0.25">
      <c r="A8" s="128" t="s">
        <v>130</v>
      </c>
      <c r="B8" s="129"/>
      <c r="C8" s="58">
        <f t="shared" ref="C8:J8" si="0">C6+C7</f>
        <v>25.783470640000047</v>
      </c>
      <c r="D8" s="58">
        <f t="shared" si="0"/>
        <v>77.228301158402829</v>
      </c>
      <c r="E8" s="53">
        <f t="shared" si="0"/>
        <v>83.80372984150992</v>
      </c>
      <c r="F8" s="58">
        <f t="shared" si="0"/>
        <v>84.747765822506437</v>
      </c>
      <c r="G8" s="53">
        <f t="shared" ca="1" si="0"/>
        <v>103.89289826562874</v>
      </c>
      <c r="H8" s="58">
        <f t="shared" ca="1" si="0"/>
        <v>116.32284110549233</v>
      </c>
      <c r="I8" s="58">
        <f t="shared" ca="1" si="0"/>
        <v>128.70799447363427</v>
      </c>
      <c r="J8" s="58">
        <f t="shared" ca="1" si="0"/>
        <v>620.48700130717452</v>
      </c>
    </row>
    <row r="10" spans="1:10" x14ac:dyDescent="0.25">
      <c r="A10" s="128" t="s">
        <v>314</v>
      </c>
      <c r="B10" s="129"/>
    </row>
    <row r="11" spans="1:10" x14ac:dyDescent="0.25">
      <c r="A11" s="10" t="s">
        <v>40</v>
      </c>
      <c r="B11" s="10"/>
      <c r="C11" s="29">
        <f>PL!B33</f>
        <v>0</v>
      </c>
      <c r="D11" s="29">
        <f>PL!C33</f>
        <v>17.374944387917754</v>
      </c>
      <c r="E11" s="29">
        <f>PL!D33</f>
        <v>14.853016061633596</v>
      </c>
      <c r="F11" s="29">
        <f>PL!E33</f>
        <v>12.109793665111074</v>
      </c>
      <c r="G11" s="29">
        <f>PL!F33</f>
        <v>9.1258590947457741</v>
      </c>
      <c r="H11" s="29">
        <f>PL!G33</f>
        <v>5.8800903479215227</v>
      </c>
      <c r="I11" s="29">
        <f>PL!H33</f>
        <v>2.3495120093450965</v>
      </c>
      <c r="J11" s="29">
        <f>SUM(C11:I11)</f>
        <v>61.693215566674816</v>
      </c>
    </row>
    <row r="12" spans="1:10" x14ac:dyDescent="0.25">
      <c r="A12" s="10" t="s">
        <v>315</v>
      </c>
      <c r="B12" s="10"/>
      <c r="C12" s="29">
        <v>0</v>
      </c>
      <c r="D12" s="29">
        <f>'Amortization Schedule'!K12</f>
        <v>46.115535927779142</v>
      </c>
      <c r="E12" s="29">
        <f>'Amortization Schedule'!K17</f>
        <v>46.115535927779142</v>
      </c>
      <c r="F12" s="29">
        <f>'Amortization Schedule'!K22</f>
        <v>46.115535927779142</v>
      </c>
      <c r="G12" s="29">
        <f>'Amortization Schedule'!K27</f>
        <v>46.115535927779142</v>
      </c>
      <c r="H12" s="29">
        <f>'Amortization Schedule'!K32</f>
        <v>46.115535927779142</v>
      </c>
      <c r="I12" s="29">
        <f>'Amortization Schedule'!K37</f>
        <v>46.115535927779142</v>
      </c>
      <c r="J12" s="29">
        <f>SUM(C12:I12)</f>
        <v>276.69321556667484</v>
      </c>
    </row>
    <row r="13" spans="1:10" x14ac:dyDescent="0.25">
      <c r="A13" s="128" t="s">
        <v>130</v>
      </c>
      <c r="B13" s="129"/>
      <c r="C13" s="58">
        <f>C11+C12</f>
        <v>0</v>
      </c>
      <c r="D13" s="58">
        <f>D11+D12</f>
        <v>63.4904803156969</v>
      </c>
      <c r="E13" s="53">
        <f t="shared" ref="E13:J13" si="1">E11+E12</f>
        <v>60.968551989412738</v>
      </c>
      <c r="F13" s="58">
        <f t="shared" si="1"/>
        <v>58.225329592890219</v>
      </c>
      <c r="G13" s="53">
        <f t="shared" si="1"/>
        <v>55.241395022524912</v>
      </c>
      <c r="H13" s="58">
        <f t="shared" si="1"/>
        <v>51.995626275700666</v>
      </c>
      <c r="I13" s="58">
        <f t="shared" si="1"/>
        <v>48.46504793712424</v>
      </c>
      <c r="J13" s="58">
        <f t="shared" si="1"/>
        <v>338.38643113334967</v>
      </c>
    </row>
    <row r="15" spans="1:10" x14ac:dyDescent="0.25">
      <c r="A15" s="83" t="s">
        <v>73</v>
      </c>
      <c r="B15" s="83"/>
      <c r="C15" s="98" t="s">
        <v>538</v>
      </c>
      <c r="D15" s="58">
        <f t="shared" ref="D15:I15" si="2">D8/D13</f>
        <v>1.2163760736160236</v>
      </c>
      <c r="E15" s="53">
        <f t="shared" si="2"/>
        <v>1.3745402688268296</v>
      </c>
      <c r="F15" s="58">
        <f t="shared" si="2"/>
        <v>1.4555137156811357</v>
      </c>
      <c r="G15" s="83">
        <f t="shared" ca="1" si="2"/>
        <v>1.8807073612689538</v>
      </c>
      <c r="H15" s="84">
        <f t="shared" ca="1" si="2"/>
        <v>2.2371658817744442</v>
      </c>
      <c r="I15" s="58">
        <f t="shared" ca="1" si="2"/>
        <v>2.6556869321704295</v>
      </c>
    </row>
    <row r="17" spans="1:4" x14ac:dyDescent="0.25">
      <c r="A17" s="132" t="s">
        <v>316</v>
      </c>
      <c r="B17" s="132"/>
      <c r="C17" s="133">
        <f ca="1">SUM(D15:I15)/6</f>
        <v>1.8033317055563025</v>
      </c>
      <c r="D17" s="62">
        <f ca="1">AVERAGE(D15:I15)</f>
        <v>1.8033317055563025</v>
      </c>
    </row>
    <row r="18" spans="1:4" x14ac:dyDescent="0.25">
      <c r="A18" s="132" t="s">
        <v>543</v>
      </c>
      <c r="B18" s="132"/>
      <c r="C18" s="133">
        <f>SUM(D16:I16)/6</f>
        <v>0</v>
      </c>
      <c r="D18" s="101">
        <f ca="1">MAX(D15:I15)</f>
        <v>2.6556869321704295</v>
      </c>
    </row>
    <row r="20" spans="1:4" x14ac:dyDescent="0.25">
      <c r="A20" t="s">
        <v>544</v>
      </c>
    </row>
    <row r="21" spans="1:4" x14ac:dyDescent="0.25">
      <c r="A21" t="s">
        <v>545</v>
      </c>
    </row>
  </sheetData>
  <mergeCells count="6">
    <mergeCell ref="A18:C18"/>
    <mergeCell ref="A17:C17"/>
    <mergeCell ref="A13:B13"/>
    <mergeCell ref="A10:B10"/>
    <mergeCell ref="A5:B5"/>
    <mergeCell ref="A8:B8"/>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workbookViewId="0">
      <selection activeCell="C13" sqref="C13"/>
    </sheetView>
  </sheetViews>
  <sheetFormatPr defaultRowHeight="15" x14ac:dyDescent="0.25"/>
  <cols>
    <col min="1" max="1" width="34.28515625" customWidth="1"/>
  </cols>
  <sheetData>
    <row r="1" spans="1:8" ht="18.75" x14ac:dyDescent="0.3">
      <c r="A1" s="81" t="s">
        <v>256</v>
      </c>
      <c r="B1" s="81"/>
      <c r="C1" s="81"/>
      <c r="D1" s="81"/>
      <c r="E1" s="81"/>
      <c r="F1" s="81"/>
      <c r="G1" s="81"/>
      <c r="H1" s="81"/>
    </row>
    <row r="3" spans="1:8" x14ac:dyDescent="0.25">
      <c r="A3" s="2" t="s">
        <v>50</v>
      </c>
      <c r="B3" s="2" t="s">
        <v>2</v>
      </c>
      <c r="C3" s="2" t="s">
        <v>3</v>
      </c>
      <c r="D3" s="2" t="s">
        <v>4</v>
      </c>
      <c r="E3" s="2" t="s">
        <v>5</v>
      </c>
      <c r="F3" s="2" t="s">
        <v>6</v>
      </c>
      <c r="G3" s="2" t="s">
        <v>7</v>
      </c>
      <c r="H3" s="2" t="s">
        <v>535</v>
      </c>
    </row>
    <row r="4" spans="1:8" x14ac:dyDescent="0.25">
      <c r="A4" s="10" t="s">
        <v>257</v>
      </c>
      <c r="B4" s="29">
        <f>PL!B36</f>
        <v>1.0137306666709756E-2</v>
      </c>
      <c r="C4" s="29">
        <f>PL!C36</f>
        <v>28.931773162082237</v>
      </c>
      <c r="D4" s="29">
        <f>PL!D36</f>
        <v>44.704643413366469</v>
      </c>
      <c r="E4" s="29">
        <f>PL!E36</f>
        <v>52.295797983638849</v>
      </c>
      <c r="F4" s="29">
        <f ca="1">PL!F36</f>
        <v>86.130561161592908</v>
      </c>
      <c r="G4" s="29">
        <f ca="1">PL!G36</f>
        <v>110.38516775901142</v>
      </c>
      <c r="H4" s="29">
        <f ca="1">PL!H36</f>
        <v>134.7453670228297</v>
      </c>
    </row>
    <row r="5" spans="1:8" x14ac:dyDescent="0.25">
      <c r="A5" s="10" t="s">
        <v>258</v>
      </c>
      <c r="B5" s="29">
        <f>Depreciation!$D$20</f>
        <v>38.451383999999997</v>
      </c>
      <c r="C5" s="29">
        <f>Depreciation!$D$20</f>
        <v>38.451383999999997</v>
      </c>
      <c r="D5" s="29">
        <f>Depreciation!$D$20</f>
        <v>38.451383999999997</v>
      </c>
      <c r="E5" s="29">
        <f>Depreciation!$D$20</f>
        <v>38.451383999999997</v>
      </c>
      <c r="F5" s="29">
        <f>Depreciation!$D$20</f>
        <v>38.451383999999997</v>
      </c>
      <c r="G5" s="29">
        <f>Depreciation!$D$20</f>
        <v>38.451383999999997</v>
      </c>
      <c r="H5" s="29">
        <f>Depreciation!$D$20</f>
        <v>38.451383999999997</v>
      </c>
    </row>
    <row r="6" spans="1:8" x14ac:dyDescent="0.25">
      <c r="A6" s="10" t="s">
        <v>259</v>
      </c>
      <c r="B6" s="29">
        <f>Depreciation!D29</f>
        <v>18.989999999999998</v>
      </c>
      <c r="C6" s="29">
        <f>Depreciation!E29</f>
        <v>42.318450000000006</v>
      </c>
      <c r="D6" s="29">
        <f>Depreciation!F29</f>
        <v>36.275917499999998</v>
      </c>
      <c r="E6" s="29">
        <f>Depreciation!G29</f>
        <v>31.109241375000003</v>
      </c>
      <c r="F6" s="29">
        <f>Depreciation!H29</f>
        <v>26.690095518750002</v>
      </c>
      <c r="G6" s="29">
        <f>Depreciation!I29</f>
        <v>22.909097505937499</v>
      </c>
      <c r="H6" s="29">
        <f>Depreciation!J29</f>
        <v>19.672997563546879</v>
      </c>
    </row>
    <row r="7" spans="1:8" x14ac:dyDescent="0.25">
      <c r="A7" s="10" t="s">
        <v>239</v>
      </c>
      <c r="B7" s="29">
        <f t="shared" ref="B7:H7" si="0">B4+B5-B6</f>
        <v>19.471521306666705</v>
      </c>
      <c r="C7" s="29">
        <f t="shared" si="0"/>
        <v>25.064707162082222</v>
      </c>
      <c r="D7" s="29">
        <f t="shared" si="0"/>
        <v>46.880109913366475</v>
      </c>
      <c r="E7" s="29">
        <f t="shared" si="0"/>
        <v>59.63794060863885</v>
      </c>
      <c r="F7" s="29">
        <f t="shared" ca="1" si="0"/>
        <v>97.891849642842899</v>
      </c>
      <c r="G7" s="29">
        <f t="shared" ca="1" si="0"/>
        <v>125.92745425307393</v>
      </c>
      <c r="H7" s="29">
        <f t="shared" ca="1" si="0"/>
        <v>153.5237534592828</v>
      </c>
    </row>
    <row r="8" spans="1:8" x14ac:dyDescent="0.25">
      <c r="A8" s="10" t="s">
        <v>260</v>
      </c>
      <c r="B8" s="29">
        <v>0</v>
      </c>
      <c r="C8" s="29">
        <v>0</v>
      </c>
      <c r="D8" s="29">
        <v>0</v>
      </c>
      <c r="E8" s="29">
        <v>0</v>
      </c>
      <c r="F8" s="29">
        <v>0</v>
      </c>
      <c r="G8" s="29">
        <v>0</v>
      </c>
      <c r="H8" s="29">
        <v>0</v>
      </c>
    </row>
    <row r="9" spans="1:8" x14ac:dyDescent="0.25">
      <c r="A9" s="10" t="s">
        <v>261</v>
      </c>
      <c r="B9" s="29">
        <f>B7-B8</f>
        <v>19.471521306666705</v>
      </c>
      <c r="C9" s="29">
        <f t="shared" ref="C9:H9" si="1">C7-C8</f>
        <v>25.064707162082222</v>
      </c>
      <c r="D9" s="29">
        <f t="shared" si="1"/>
        <v>46.880109913366475</v>
      </c>
      <c r="E9" s="29">
        <f t="shared" si="1"/>
        <v>59.63794060863885</v>
      </c>
      <c r="F9" s="29">
        <f t="shared" ca="1" si="1"/>
        <v>97.891849642842899</v>
      </c>
      <c r="G9" s="29">
        <f t="shared" ca="1" si="1"/>
        <v>125.92745425307393</v>
      </c>
      <c r="H9" s="29">
        <f t="shared" ca="1" si="1"/>
        <v>153.5237534592828</v>
      </c>
    </row>
    <row r="10" spans="1:8" x14ac:dyDescent="0.25">
      <c r="A10" s="23" t="s">
        <v>262</v>
      </c>
      <c r="B10" s="27">
        <v>0</v>
      </c>
      <c r="C10" s="27">
        <f t="shared" ref="C10:H10" si="2">C9*30.6%</f>
        <v>7.6698003915971595</v>
      </c>
      <c r="D10" s="27">
        <f t="shared" si="2"/>
        <v>14.345313633490141</v>
      </c>
      <c r="E10" s="27">
        <f t="shared" si="2"/>
        <v>18.249209826243487</v>
      </c>
      <c r="F10" s="24">
        <f t="shared" ca="1" si="2"/>
        <v>29.954905990709928</v>
      </c>
      <c r="G10" s="27">
        <f t="shared" ca="1" si="2"/>
        <v>38.533801001440622</v>
      </c>
      <c r="H10" s="27">
        <f t="shared" ca="1" si="2"/>
        <v>46.978268558540535</v>
      </c>
    </row>
    <row r="12" spans="1:8" x14ac:dyDescent="0.25">
      <c r="A12" t="s">
        <v>263</v>
      </c>
      <c r="B12" s="36">
        <f>B9*10.3%</f>
        <v>2.0055666945866708</v>
      </c>
      <c r="C12" s="36">
        <f t="shared" ref="C12:H12" si="3">C9*10.3%</f>
        <v>2.5816648376944689</v>
      </c>
      <c r="D12" s="36">
        <f t="shared" si="3"/>
        <v>4.8286513210767472</v>
      </c>
      <c r="E12" s="36">
        <f t="shared" si="3"/>
        <v>6.1427078826898018</v>
      </c>
      <c r="F12" s="36">
        <f t="shared" ca="1" si="3"/>
        <v>10.08286051321282</v>
      </c>
      <c r="G12" s="36">
        <f t="shared" ca="1" si="3"/>
        <v>12.970527788066615</v>
      </c>
      <c r="H12" s="36">
        <f t="shared" ca="1" si="3"/>
        <v>15.812946606306129</v>
      </c>
    </row>
    <row r="13" spans="1:8" x14ac:dyDescent="0.25">
      <c r="B13">
        <v>5.95</v>
      </c>
      <c r="C13">
        <v>6.89</v>
      </c>
      <c r="D13">
        <v>8.02</v>
      </c>
      <c r="E13">
        <v>9.15</v>
      </c>
      <c r="F13">
        <v>9.07</v>
      </c>
      <c r="G13">
        <v>9.1199999999999992</v>
      </c>
      <c r="H13">
        <v>9.14</v>
      </c>
    </row>
    <row r="15" spans="1:8" x14ac:dyDescent="0.25">
      <c r="A15" t="s">
        <v>264</v>
      </c>
      <c r="B15" s="6">
        <f>B10</f>
        <v>0</v>
      </c>
      <c r="C15" s="6">
        <f t="shared" ref="C15:H15" si="4">C10</f>
        <v>7.6698003915971595</v>
      </c>
      <c r="D15" s="6">
        <f t="shared" si="4"/>
        <v>14.345313633490141</v>
      </c>
      <c r="E15" s="6">
        <f t="shared" si="4"/>
        <v>18.249209826243487</v>
      </c>
      <c r="F15" s="6">
        <f t="shared" ca="1" si="4"/>
        <v>29.954905990709928</v>
      </c>
      <c r="G15" s="6">
        <f t="shared" ca="1" si="4"/>
        <v>38.533801001440622</v>
      </c>
      <c r="H15" s="6">
        <f t="shared" ca="1" si="4"/>
        <v>46.978268558540535</v>
      </c>
    </row>
    <row r="16" spans="1:8" x14ac:dyDescent="0.25">
      <c r="A16" t="s">
        <v>265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workbookViewId="0">
      <selection activeCell="B3" sqref="B3:G26"/>
    </sheetView>
  </sheetViews>
  <sheetFormatPr defaultRowHeight="15" x14ac:dyDescent="0.25"/>
  <cols>
    <col min="1" max="1" width="5.5703125" customWidth="1"/>
    <col min="2" max="2" width="33.140625" customWidth="1"/>
    <col min="4" max="4" width="16.28515625" bestFit="1" customWidth="1"/>
    <col min="5" max="5" width="21.5703125" hidden="1" customWidth="1"/>
    <col min="6" max="6" width="9.42578125" bestFit="1" customWidth="1"/>
    <col min="7" max="7" width="17.28515625" bestFit="1" customWidth="1"/>
  </cols>
  <sheetData>
    <row r="1" spans="1:7" ht="18.75" x14ac:dyDescent="0.3">
      <c r="A1" s="1"/>
      <c r="B1" s="81" t="s">
        <v>97</v>
      </c>
      <c r="C1" s="81"/>
      <c r="D1" s="81"/>
      <c r="E1" s="81"/>
      <c r="F1" s="81"/>
      <c r="G1" s="81"/>
    </row>
    <row r="3" spans="1:7" x14ac:dyDescent="0.25">
      <c r="B3" s="2" t="s">
        <v>50</v>
      </c>
      <c r="C3" s="2" t="s">
        <v>102</v>
      </c>
      <c r="D3" s="2" t="s">
        <v>98</v>
      </c>
      <c r="E3" s="2" t="s">
        <v>99</v>
      </c>
      <c r="F3" s="2" t="s">
        <v>100</v>
      </c>
      <c r="G3" s="2" t="s">
        <v>101</v>
      </c>
    </row>
    <row r="4" spans="1:7" x14ac:dyDescent="0.25">
      <c r="B4" s="10" t="s">
        <v>103</v>
      </c>
      <c r="C4" s="43">
        <v>2</v>
      </c>
      <c r="D4" s="43">
        <v>2700000</v>
      </c>
      <c r="E4" s="29">
        <v>27</v>
      </c>
      <c r="F4" s="43">
        <v>4.8600000000000003</v>
      </c>
      <c r="G4" s="43">
        <v>58.86</v>
      </c>
    </row>
    <row r="5" spans="1:7" x14ac:dyDescent="0.25">
      <c r="B5" s="10" t="s">
        <v>104</v>
      </c>
      <c r="C5" s="43">
        <v>1</v>
      </c>
      <c r="D5" s="43">
        <v>600000</v>
      </c>
      <c r="E5" s="29">
        <v>6</v>
      </c>
      <c r="F5" s="43">
        <v>1.08</v>
      </c>
      <c r="G5" s="43">
        <v>7.08</v>
      </c>
    </row>
    <row r="6" spans="1:7" x14ac:dyDescent="0.25">
      <c r="B6" s="10" t="s">
        <v>105</v>
      </c>
      <c r="C6" s="43">
        <v>1</v>
      </c>
      <c r="D6" s="43">
        <v>300000</v>
      </c>
      <c r="E6" s="29">
        <v>3</v>
      </c>
      <c r="F6" s="43">
        <v>0.54</v>
      </c>
      <c r="G6" s="43">
        <v>3.54</v>
      </c>
    </row>
    <row r="7" spans="1:7" x14ac:dyDescent="0.25">
      <c r="B7" s="10" t="s">
        <v>106</v>
      </c>
      <c r="C7" s="43">
        <v>1</v>
      </c>
      <c r="D7" s="43">
        <v>126000</v>
      </c>
      <c r="E7" s="29">
        <v>1.26</v>
      </c>
      <c r="F7" s="43">
        <v>0.23</v>
      </c>
      <c r="G7" s="43">
        <v>1.49</v>
      </c>
    </row>
    <row r="8" spans="1:7" x14ac:dyDescent="0.25">
      <c r="B8" s="10" t="s">
        <v>107</v>
      </c>
      <c r="C8" s="43"/>
      <c r="D8" s="43"/>
      <c r="E8" s="29"/>
      <c r="F8" s="43"/>
      <c r="G8" s="43"/>
    </row>
    <row r="9" spans="1:7" x14ac:dyDescent="0.25">
      <c r="B9" s="10" t="s">
        <v>108</v>
      </c>
      <c r="C9" s="43">
        <v>1</v>
      </c>
      <c r="D9" s="43">
        <v>1381250</v>
      </c>
      <c r="E9" s="29">
        <v>13.81</v>
      </c>
      <c r="F9" s="43">
        <v>2.4900000000000002</v>
      </c>
      <c r="G9" s="29">
        <v>16.3</v>
      </c>
    </row>
    <row r="10" spans="1:7" x14ac:dyDescent="0.25">
      <c r="B10" s="10" t="s">
        <v>109</v>
      </c>
      <c r="C10" s="43">
        <v>1</v>
      </c>
      <c r="D10" s="43">
        <v>498000</v>
      </c>
      <c r="E10" s="29">
        <v>4.9800000000000004</v>
      </c>
      <c r="F10" s="43">
        <v>0.9</v>
      </c>
      <c r="G10" s="43">
        <v>5.88</v>
      </c>
    </row>
    <row r="11" spans="1:7" x14ac:dyDescent="0.25">
      <c r="B11" s="10" t="s">
        <v>110</v>
      </c>
      <c r="C11" s="43">
        <v>1</v>
      </c>
      <c r="D11" s="43">
        <v>700000</v>
      </c>
      <c r="E11" s="29">
        <v>7</v>
      </c>
      <c r="F11" s="43">
        <v>1.26</v>
      </c>
      <c r="G11" s="43">
        <v>8.26</v>
      </c>
    </row>
    <row r="12" spans="1:7" x14ac:dyDescent="0.25">
      <c r="B12" s="10" t="s">
        <v>111</v>
      </c>
      <c r="C12" s="43">
        <v>1</v>
      </c>
      <c r="D12" s="43">
        <v>1500000</v>
      </c>
      <c r="E12" s="29">
        <v>15</v>
      </c>
      <c r="F12" s="43">
        <v>2.7</v>
      </c>
      <c r="G12" s="43">
        <v>17.7</v>
      </c>
    </row>
    <row r="13" spans="1:7" x14ac:dyDescent="0.25">
      <c r="B13" s="10" t="s">
        <v>112</v>
      </c>
      <c r="C13" s="43">
        <v>1</v>
      </c>
      <c r="D13" s="43">
        <v>600000</v>
      </c>
      <c r="E13" s="29">
        <v>6</v>
      </c>
      <c r="F13" s="43">
        <v>1.08</v>
      </c>
      <c r="G13" s="43">
        <v>7.08</v>
      </c>
    </row>
    <row r="14" spans="1:7" x14ac:dyDescent="0.25">
      <c r="B14" s="10" t="s">
        <v>113</v>
      </c>
      <c r="C14" s="43"/>
      <c r="D14" s="43"/>
      <c r="E14" s="29"/>
      <c r="F14" s="43"/>
      <c r="G14" s="43"/>
    </row>
    <row r="15" spans="1:7" x14ac:dyDescent="0.25">
      <c r="B15" s="10" t="s">
        <v>114</v>
      </c>
      <c r="C15" s="43">
        <v>1</v>
      </c>
      <c r="D15" s="43">
        <v>120000</v>
      </c>
      <c r="E15" s="29">
        <v>1.2</v>
      </c>
      <c r="F15" s="43">
        <v>0.22</v>
      </c>
      <c r="G15" s="43">
        <v>1.42</v>
      </c>
    </row>
    <row r="16" spans="1:7" x14ac:dyDescent="0.25">
      <c r="B16" s="10" t="s">
        <v>115</v>
      </c>
      <c r="C16" s="43">
        <v>1</v>
      </c>
      <c r="D16" s="43">
        <v>130000</v>
      </c>
      <c r="E16" s="29">
        <v>1.3</v>
      </c>
      <c r="F16" s="43">
        <v>0.23</v>
      </c>
      <c r="G16" s="43">
        <v>1.53</v>
      </c>
    </row>
    <row r="17" spans="2:7" x14ac:dyDescent="0.25">
      <c r="B17" s="10" t="s">
        <v>116</v>
      </c>
      <c r="C17" s="43">
        <v>1</v>
      </c>
      <c r="D17" s="43">
        <v>105000</v>
      </c>
      <c r="E17" s="29">
        <v>1.05</v>
      </c>
      <c r="F17" s="43">
        <v>0.19</v>
      </c>
      <c r="G17" s="43">
        <v>1.24</v>
      </c>
    </row>
    <row r="18" spans="2:7" x14ac:dyDescent="0.25">
      <c r="B18" s="10" t="s">
        <v>117</v>
      </c>
      <c r="C18" s="43" t="s">
        <v>125</v>
      </c>
      <c r="D18" s="43">
        <v>68000</v>
      </c>
      <c r="E18" s="29">
        <v>0.68</v>
      </c>
      <c r="F18" s="43">
        <v>0.12</v>
      </c>
      <c r="G18" s="29">
        <v>0.8</v>
      </c>
    </row>
    <row r="19" spans="2:7" x14ac:dyDescent="0.25">
      <c r="B19" s="10" t="s">
        <v>118</v>
      </c>
      <c r="C19" s="43"/>
      <c r="D19" s="43"/>
      <c r="E19" s="43"/>
      <c r="F19" s="43"/>
      <c r="G19" s="43"/>
    </row>
    <row r="20" spans="2:7" x14ac:dyDescent="0.25">
      <c r="B20" s="10" t="s">
        <v>119</v>
      </c>
      <c r="C20" s="43">
        <v>1</v>
      </c>
      <c r="D20" s="43">
        <v>1985000</v>
      </c>
      <c r="E20" s="29">
        <v>19.850000000000001</v>
      </c>
      <c r="F20" s="43">
        <v>3.57</v>
      </c>
      <c r="G20" s="43">
        <v>23.42</v>
      </c>
    </row>
    <row r="21" spans="2:7" x14ac:dyDescent="0.25">
      <c r="B21" s="10" t="s">
        <v>120</v>
      </c>
      <c r="C21" s="43">
        <v>1</v>
      </c>
      <c r="D21" s="43">
        <v>2185000</v>
      </c>
      <c r="E21" s="29">
        <v>21.85</v>
      </c>
      <c r="F21" s="43">
        <v>3.93</v>
      </c>
      <c r="G21" s="43">
        <v>25.78</v>
      </c>
    </row>
    <row r="22" spans="2:7" x14ac:dyDescent="0.25">
      <c r="B22" s="10" t="s">
        <v>121</v>
      </c>
      <c r="C22" s="43">
        <v>1</v>
      </c>
      <c r="D22" s="43">
        <v>50000</v>
      </c>
      <c r="E22" s="29">
        <v>0.5</v>
      </c>
      <c r="F22" s="43">
        <v>0.09</v>
      </c>
      <c r="G22" s="43">
        <v>0.59</v>
      </c>
    </row>
    <row r="23" spans="2:7" x14ac:dyDescent="0.25">
      <c r="B23" s="10" t="s">
        <v>122</v>
      </c>
      <c r="C23" s="43">
        <v>1</v>
      </c>
      <c r="D23" s="43">
        <v>172000</v>
      </c>
      <c r="E23" s="29">
        <v>1.72</v>
      </c>
      <c r="F23" s="43">
        <v>0.31</v>
      </c>
      <c r="G23" s="43">
        <v>2.0299999999999998</v>
      </c>
    </row>
    <row r="24" spans="2:7" x14ac:dyDescent="0.25">
      <c r="B24" s="10" t="s">
        <v>123</v>
      </c>
      <c r="C24" s="43">
        <v>1</v>
      </c>
      <c r="D24" s="43">
        <v>1000000</v>
      </c>
      <c r="E24" s="29">
        <v>10</v>
      </c>
      <c r="F24" s="29">
        <v>1.8</v>
      </c>
      <c r="G24" s="29">
        <v>11.8</v>
      </c>
    </row>
    <row r="25" spans="2:7" x14ac:dyDescent="0.25">
      <c r="B25" s="10" t="s">
        <v>124</v>
      </c>
      <c r="C25" s="43">
        <v>1</v>
      </c>
      <c r="D25" s="43">
        <v>500000</v>
      </c>
      <c r="E25" s="29">
        <v>5</v>
      </c>
      <c r="F25" s="29">
        <v>0.9</v>
      </c>
      <c r="G25" s="29">
        <v>5.9</v>
      </c>
    </row>
    <row r="26" spans="2:7" x14ac:dyDescent="0.25">
      <c r="B26" s="23"/>
      <c r="C26" s="27"/>
      <c r="D26" s="27"/>
      <c r="E26" s="47">
        <f>SUM(E4:E7,E9:E13,E15:E18,E20:E25)</f>
        <v>147.19999999999999</v>
      </c>
      <c r="F26" s="47">
        <f t="shared" ref="F26:G26" si="0">SUM(F4:F7,F9:F13,F15:F18,F20:F25)</f>
        <v>26.5</v>
      </c>
      <c r="G26" s="47">
        <f t="shared" si="0"/>
        <v>200.70000000000005</v>
      </c>
    </row>
    <row r="29" spans="2:7" x14ac:dyDescent="0.25">
      <c r="B29" s="2" t="s">
        <v>126</v>
      </c>
      <c r="C29" s="2"/>
      <c r="D29" s="2"/>
    </row>
    <row r="30" spans="2:7" x14ac:dyDescent="0.25">
      <c r="B30" s="10" t="s">
        <v>127</v>
      </c>
      <c r="C30" s="10" t="s">
        <v>102</v>
      </c>
      <c r="D30" s="10" t="s">
        <v>131</v>
      </c>
    </row>
    <row r="31" spans="2:7" x14ac:dyDescent="0.25">
      <c r="B31" s="10" t="s">
        <v>128</v>
      </c>
      <c r="C31" s="10" t="s">
        <v>125</v>
      </c>
      <c r="D31" s="12">
        <v>1.2</v>
      </c>
    </row>
    <row r="32" spans="2:7" x14ac:dyDescent="0.25">
      <c r="B32" s="10" t="s">
        <v>129</v>
      </c>
      <c r="C32" s="10" t="s">
        <v>125</v>
      </c>
      <c r="D32" s="12">
        <v>1</v>
      </c>
    </row>
    <row r="33" spans="2:4" x14ac:dyDescent="0.25">
      <c r="B33" s="27" t="s">
        <v>130</v>
      </c>
      <c r="C33" s="27"/>
      <c r="D33" s="27">
        <v>2.2000000000000002</v>
      </c>
    </row>
    <row r="36" spans="2:4" x14ac:dyDescent="0.25">
      <c r="B36" s="2" t="s">
        <v>132</v>
      </c>
      <c r="C36" s="2"/>
      <c r="D36" s="2"/>
    </row>
    <row r="37" spans="2:4" x14ac:dyDescent="0.25">
      <c r="B37" s="2" t="s">
        <v>127</v>
      </c>
      <c r="C37" s="2" t="s">
        <v>448</v>
      </c>
    </row>
    <row r="38" spans="2:4" x14ac:dyDescent="0.25">
      <c r="B38" s="10" t="s">
        <v>136</v>
      </c>
      <c r="C38" s="10"/>
    </row>
    <row r="39" spans="2:4" x14ac:dyDescent="0.25">
      <c r="B39" s="10" t="s">
        <v>133</v>
      </c>
      <c r="C39" s="12">
        <v>0.5</v>
      </c>
    </row>
    <row r="40" spans="2:4" x14ac:dyDescent="0.25">
      <c r="B40" s="10" t="s">
        <v>134</v>
      </c>
      <c r="C40" s="12">
        <v>0.1</v>
      </c>
    </row>
    <row r="41" spans="2:4" x14ac:dyDescent="0.25">
      <c r="B41" s="10" t="s">
        <v>135</v>
      </c>
      <c r="C41" s="12">
        <v>0.4</v>
      </c>
    </row>
    <row r="42" spans="2:4" x14ac:dyDescent="0.25">
      <c r="B42" s="27" t="s">
        <v>130</v>
      </c>
      <c r="C42" s="27">
        <f>SUM(C39:C41)</f>
        <v>1</v>
      </c>
    </row>
    <row r="43" spans="2:4" x14ac:dyDescent="0.25">
      <c r="B43" s="10" t="s">
        <v>137</v>
      </c>
      <c r="C43" s="10"/>
    </row>
    <row r="44" spans="2:4" x14ac:dyDescent="0.25">
      <c r="B44" s="10" t="s">
        <v>138</v>
      </c>
      <c r="C44" s="12">
        <v>0</v>
      </c>
    </row>
    <row r="45" spans="2:4" x14ac:dyDescent="0.25">
      <c r="B45" s="27" t="s">
        <v>139</v>
      </c>
      <c r="C45" s="27">
        <f>C42+C44</f>
        <v>1</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election activeCell="B6" sqref="B6"/>
    </sheetView>
  </sheetViews>
  <sheetFormatPr defaultRowHeight="15" x14ac:dyDescent="0.25"/>
  <cols>
    <col min="1" max="1" width="34.7109375" customWidth="1"/>
    <col min="4" max="4" width="19.5703125" bestFit="1" customWidth="1"/>
  </cols>
  <sheetData>
    <row r="1" spans="1:4" ht="18.75" x14ac:dyDescent="0.3">
      <c r="A1" s="81" t="s">
        <v>140</v>
      </c>
      <c r="B1" s="81"/>
      <c r="C1" s="81"/>
      <c r="D1" s="81"/>
    </row>
    <row r="3" spans="1:4" x14ac:dyDescent="0.25">
      <c r="A3" s="2" t="s">
        <v>141</v>
      </c>
      <c r="B3" s="2" t="s">
        <v>142</v>
      </c>
      <c r="C3" s="2" t="s">
        <v>65</v>
      </c>
      <c r="D3" s="2" t="s">
        <v>76</v>
      </c>
    </row>
    <row r="4" spans="1:4" x14ac:dyDescent="0.25">
      <c r="A4" s="10" t="s">
        <v>143</v>
      </c>
      <c r="B4" s="43">
        <v>13.64</v>
      </c>
      <c r="C4" s="48">
        <v>0</v>
      </c>
      <c r="D4" s="29">
        <v>0</v>
      </c>
    </row>
    <row r="5" spans="1:4" x14ac:dyDescent="0.25">
      <c r="A5" s="10" t="s">
        <v>144</v>
      </c>
      <c r="B5" s="29">
        <v>63</v>
      </c>
      <c r="C5" s="48">
        <v>0.02</v>
      </c>
      <c r="D5" s="43">
        <v>1.26</v>
      </c>
    </row>
    <row r="6" spans="1:4" x14ac:dyDescent="0.25">
      <c r="A6" s="10" t="s">
        <v>145</v>
      </c>
      <c r="B6" s="43">
        <v>253.73</v>
      </c>
      <c r="C6" s="48">
        <v>0.02</v>
      </c>
      <c r="D6" s="43">
        <v>5.07</v>
      </c>
    </row>
    <row r="7" spans="1:4" x14ac:dyDescent="0.25">
      <c r="A7" s="10" t="s">
        <v>63</v>
      </c>
      <c r="B7" s="29">
        <v>2.2000000000000002</v>
      </c>
      <c r="C7" s="48">
        <v>0</v>
      </c>
      <c r="D7" s="29">
        <v>0</v>
      </c>
    </row>
    <row r="8" spans="1:4" x14ac:dyDescent="0.25">
      <c r="A8" s="10" t="s">
        <v>146</v>
      </c>
      <c r="B8" s="29">
        <v>1</v>
      </c>
      <c r="C8" s="48">
        <v>0</v>
      </c>
      <c r="D8" s="29">
        <v>0</v>
      </c>
    </row>
    <row r="10" spans="1:4" x14ac:dyDescent="0.25">
      <c r="A10" s="47" t="s">
        <v>130</v>
      </c>
      <c r="B10" s="47">
        <f>SUM(B4:B8)</f>
        <v>333.57</v>
      </c>
      <c r="C10" s="47"/>
      <c r="D10" s="47">
        <f>SUM(D4:D8)</f>
        <v>6.33</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4"/>
  <sheetViews>
    <sheetView topLeftCell="A7" workbookViewId="0">
      <selection activeCell="C16" sqref="C16"/>
    </sheetView>
  </sheetViews>
  <sheetFormatPr defaultRowHeight="15" x14ac:dyDescent="0.25"/>
  <cols>
    <col min="1" max="1" width="100.7109375" customWidth="1"/>
    <col min="2" max="2" width="9.5703125" bestFit="1" customWidth="1"/>
  </cols>
  <sheetData>
    <row r="2" spans="1:8" ht="18.75" x14ac:dyDescent="0.3">
      <c r="A2" s="81" t="s">
        <v>200</v>
      </c>
      <c r="B2" s="81"/>
      <c r="C2" s="81"/>
      <c r="D2" s="81"/>
      <c r="E2" s="81"/>
      <c r="F2" s="81"/>
      <c r="G2" s="81"/>
      <c r="H2" s="81"/>
    </row>
    <row r="4" spans="1:8" x14ac:dyDescent="0.25">
      <c r="A4" t="s">
        <v>199</v>
      </c>
    </row>
    <row r="5" spans="1:8" x14ac:dyDescent="0.25">
      <c r="A5" t="s">
        <v>201</v>
      </c>
    </row>
    <row r="6" spans="1:8" x14ac:dyDescent="0.25">
      <c r="A6" t="s">
        <v>202</v>
      </c>
    </row>
    <row r="7" spans="1:8" x14ac:dyDescent="0.25">
      <c r="A7" t="s">
        <v>203</v>
      </c>
    </row>
    <row r="8" spans="1:8" x14ac:dyDescent="0.25">
      <c r="A8" t="s">
        <v>204</v>
      </c>
    </row>
    <row r="9" spans="1:8" x14ac:dyDescent="0.25">
      <c r="A9" t="s">
        <v>205</v>
      </c>
    </row>
    <row r="11" spans="1:8" x14ac:dyDescent="0.25">
      <c r="A11" t="s">
        <v>206</v>
      </c>
    </row>
    <row r="12" spans="1:8" x14ac:dyDescent="0.25">
      <c r="A12" t="s">
        <v>207</v>
      </c>
    </row>
    <row r="14" spans="1:8" x14ac:dyDescent="0.25">
      <c r="A14" s="2" t="s">
        <v>50</v>
      </c>
      <c r="B14" s="52" t="s">
        <v>2</v>
      </c>
      <c r="C14" s="52" t="s">
        <v>3</v>
      </c>
      <c r="D14" s="52" t="s">
        <v>4</v>
      </c>
      <c r="E14" s="52" t="s">
        <v>5</v>
      </c>
      <c r="F14" s="52" t="s">
        <v>6</v>
      </c>
      <c r="G14" s="52" t="s">
        <v>7</v>
      </c>
      <c r="H14" s="52" t="s">
        <v>535</v>
      </c>
    </row>
    <row r="15" spans="1:8" x14ac:dyDescent="0.25">
      <c r="A15" s="10" t="s">
        <v>425</v>
      </c>
      <c r="B15" s="57">
        <v>294386</v>
      </c>
      <c r="C15" s="43" t="s">
        <v>426</v>
      </c>
      <c r="D15" s="43"/>
      <c r="E15" s="43"/>
      <c r="F15" s="43"/>
      <c r="G15" s="43"/>
      <c r="H15" s="43"/>
    </row>
    <row r="16" spans="1:8" x14ac:dyDescent="0.25">
      <c r="A16" s="10" t="s">
        <v>208</v>
      </c>
      <c r="B16" s="74">
        <f>'Raw Material'!B16</f>
        <v>0.4</v>
      </c>
      <c r="C16" s="74">
        <f>'Raw Material'!C16</f>
        <v>0.45</v>
      </c>
      <c r="D16" s="74">
        <f>'Raw Material'!D16</f>
        <v>0.5</v>
      </c>
      <c r="E16" s="74">
        <f>'Raw Material'!E16</f>
        <v>0.52500000000000002</v>
      </c>
      <c r="F16" s="74">
        <f>'Raw Material'!F16</f>
        <v>0.55000000000000004</v>
      </c>
      <c r="G16" s="74">
        <f>'Raw Material'!G16</f>
        <v>0.57500000000000007</v>
      </c>
      <c r="H16" s="74">
        <f>'Raw Material'!H16</f>
        <v>0.60000000000000009</v>
      </c>
    </row>
    <row r="17" spans="1:8" x14ac:dyDescent="0.25">
      <c r="A17" s="10" t="s">
        <v>209</v>
      </c>
      <c r="B17" s="43">
        <f>$B$15*B16*8/12</f>
        <v>78502.933333333334</v>
      </c>
      <c r="C17" s="43">
        <f t="shared" ref="C17:H17" si="0">$B$15*C16</f>
        <v>132473.70000000001</v>
      </c>
      <c r="D17" s="43">
        <f t="shared" si="0"/>
        <v>147193</v>
      </c>
      <c r="E17" s="43">
        <f t="shared" si="0"/>
        <v>154552.65</v>
      </c>
      <c r="F17" s="43">
        <f t="shared" si="0"/>
        <v>161912.30000000002</v>
      </c>
      <c r="G17" s="43">
        <f t="shared" si="0"/>
        <v>169271.95</v>
      </c>
      <c r="H17" s="43">
        <f t="shared" si="0"/>
        <v>176631.60000000003</v>
      </c>
    </row>
    <row r="18" spans="1:8" x14ac:dyDescent="0.25">
      <c r="A18" s="77" t="s">
        <v>210</v>
      </c>
      <c r="B18" s="43">
        <v>3.84</v>
      </c>
      <c r="C18" s="43">
        <v>3.84</v>
      </c>
      <c r="D18" s="43">
        <v>3.84</v>
      </c>
      <c r="E18" s="43">
        <v>3.84</v>
      </c>
      <c r="F18" s="43">
        <v>3.84</v>
      </c>
      <c r="G18" s="43">
        <v>3.84</v>
      </c>
      <c r="H18" s="43">
        <v>3.84</v>
      </c>
    </row>
    <row r="19" spans="1:8" x14ac:dyDescent="0.25">
      <c r="A19" s="77" t="s">
        <v>211</v>
      </c>
      <c r="B19" s="43">
        <v>6.85</v>
      </c>
      <c r="C19" s="43">
        <f>B19</f>
        <v>6.85</v>
      </c>
      <c r="D19" s="29">
        <f>C19+C19*5%</f>
        <v>7.1924999999999999</v>
      </c>
      <c r="E19" s="29">
        <f>D19</f>
        <v>7.1924999999999999</v>
      </c>
      <c r="F19" s="29">
        <f>E19+E19*5%</f>
        <v>7.5521250000000002</v>
      </c>
      <c r="G19" s="29">
        <f t="shared" ref="G19" si="1">F19</f>
        <v>7.5521250000000002</v>
      </c>
      <c r="H19" s="29">
        <f>G19+G19*5%</f>
        <v>7.9297312500000006</v>
      </c>
    </row>
    <row r="20" spans="1:8" x14ac:dyDescent="0.25">
      <c r="A20" s="78" t="s">
        <v>452</v>
      </c>
      <c r="B20" s="29">
        <f>B17*B19/100000</f>
        <v>5.3774509333333329</v>
      </c>
      <c r="C20" s="29">
        <f t="shared" ref="C20:H20" si="2">C17*C19/100000</f>
        <v>9.0744484500000002</v>
      </c>
      <c r="D20" s="29">
        <f t="shared" si="2"/>
        <v>10.586856525</v>
      </c>
      <c r="E20" s="29">
        <f t="shared" si="2"/>
        <v>11.116199351249998</v>
      </c>
      <c r="F20" s="29">
        <f t="shared" si="2"/>
        <v>12.227819286375002</v>
      </c>
      <c r="G20" s="29">
        <f t="shared" si="2"/>
        <v>12.783629253937502</v>
      </c>
      <c r="H20" s="29">
        <f t="shared" si="2"/>
        <v>14.006411182575004</v>
      </c>
    </row>
    <row r="21" spans="1:8" x14ac:dyDescent="0.25">
      <c r="A21" s="77" t="s">
        <v>537</v>
      </c>
      <c r="B21" s="29">
        <f t="shared" ref="B21:H21" si="3">B19*10%</f>
        <v>0.68500000000000005</v>
      </c>
      <c r="C21" s="29">
        <f t="shared" si="3"/>
        <v>0.68500000000000005</v>
      </c>
      <c r="D21" s="29">
        <f t="shared" si="3"/>
        <v>0.71925000000000006</v>
      </c>
      <c r="E21" s="29">
        <f t="shared" si="3"/>
        <v>0.71925000000000006</v>
      </c>
      <c r="F21" s="29">
        <f t="shared" si="3"/>
        <v>0.75521250000000006</v>
      </c>
      <c r="G21" s="29">
        <f t="shared" si="3"/>
        <v>0.75521250000000006</v>
      </c>
      <c r="H21" s="29">
        <f t="shared" si="3"/>
        <v>0.79297312500000006</v>
      </c>
    </row>
    <row r="22" spans="1:8" x14ac:dyDescent="0.25">
      <c r="A22" s="78" t="s">
        <v>453</v>
      </c>
      <c r="B22" s="29">
        <f>B17*B21/100000</f>
        <v>0.53774509333333331</v>
      </c>
      <c r="C22" s="43">
        <v>2.25</v>
      </c>
      <c r="D22" s="29">
        <v>2.4</v>
      </c>
      <c r="E22" s="43">
        <v>2.5499999999999998</v>
      </c>
      <c r="F22" s="43">
        <v>2.5499999999999998</v>
      </c>
      <c r="G22" s="43">
        <v>2.5499999999999998</v>
      </c>
      <c r="H22" s="43">
        <v>2.5499999999999998</v>
      </c>
    </row>
    <row r="23" spans="1:8" x14ac:dyDescent="0.25">
      <c r="A23" s="53" t="s">
        <v>439</v>
      </c>
      <c r="B23" s="47">
        <f>B18+B20+B22</f>
        <v>9.7551960266666651</v>
      </c>
      <c r="C23" s="47">
        <f t="shared" ref="C23:H23" si="4">C18+C20+C22</f>
        <v>15.16444845</v>
      </c>
      <c r="D23" s="47">
        <f t="shared" si="4"/>
        <v>16.826856525</v>
      </c>
      <c r="E23" s="53">
        <f t="shared" si="4"/>
        <v>17.506199351249997</v>
      </c>
      <c r="F23" s="47">
        <f t="shared" si="4"/>
        <v>18.617819286375003</v>
      </c>
      <c r="G23" s="47">
        <f t="shared" si="4"/>
        <v>19.173629253937502</v>
      </c>
      <c r="H23" s="47">
        <f t="shared" si="4"/>
        <v>20.396411182575005</v>
      </c>
    </row>
    <row r="25" spans="1:8" x14ac:dyDescent="0.25">
      <c r="A25" s="20" t="s">
        <v>212</v>
      </c>
      <c r="B25" s="20"/>
      <c r="C25" s="20"/>
      <c r="D25" s="20"/>
      <c r="E25" s="20"/>
      <c r="F25" s="20"/>
      <c r="G25" s="20"/>
    </row>
    <row r="26" spans="1:8" x14ac:dyDescent="0.25">
      <c r="A26" s="20"/>
      <c r="B26" s="20"/>
      <c r="C26" s="20"/>
      <c r="D26" s="20"/>
      <c r="E26" s="20"/>
      <c r="F26" s="20"/>
      <c r="G26" s="20"/>
    </row>
    <row r="27" spans="1:8" x14ac:dyDescent="0.25">
      <c r="A27" s="20"/>
      <c r="B27" s="39" t="s">
        <v>1</v>
      </c>
      <c r="C27" s="39" t="s">
        <v>2</v>
      </c>
      <c r="D27" s="39" t="s">
        <v>3</v>
      </c>
      <c r="E27" s="39" t="s">
        <v>168</v>
      </c>
      <c r="F27" s="20"/>
      <c r="G27" s="20"/>
    </row>
    <row r="28" spans="1:8" x14ac:dyDescent="0.25">
      <c r="A28" s="20"/>
      <c r="B28" s="20"/>
      <c r="C28" s="20"/>
      <c r="D28" s="20"/>
      <c r="E28" s="20"/>
      <c r="F28" s="20"/>
      <c r="G28" s="20"/>
    </row>
    <row r="29" spans="1:8" x14ac:dyDescent="0.25">
      <c r="A29" s="20" t="s">
        <v>200</v>
      </c>
      <c r="B29" s="20">
        <v>20.059999999999999</v>
      </c>
      <c r="C29" s="20">
        <v>22.06</v>
      </c>
      <c r="D29" s="20">
        <v>24.27</v>
      </c>
      <c r="E29" s="36">
        <v>26.7</v>
      </c>
      <c r="F29" s="20"/>
      <c r="G29" s="20"/>
    </row>
    <row r="30" spans="1:8" x14ac:dyDescent="0.25">
      <c r="A30" s="20" t="s">
        <v>213</v>
      </c>
      <c r="B30" s="36">
        <v>0</v>
      </c>
      <c r="C30" s="36">
        <v>0</v>
      </c>
      <c r="D30" s="36">
        <v>0</v>
      </c>
      <c r="E30" s="36">
        <v>0</v>
      </c>
      <c r="F30" s="20"/>
      <c r="G30" s="20"/>
    </row>
    <row r="31" spans="1:8" x14ac:dyDescent="0.25">
      <c r="A31" s="20" t="s">
        <v>130</v>
      </c>
      <c r="B31" s="36">
        <f>B29+B30</f>
        <v>20.059999999999999</v>
      </c>
      <c r="C31" s="36">
        <f t="shared" ref="C31:E31" si="5">C29+C30</f>
        <v>22.06</v>
      </c>
      <c r="D31" s="36">
        <f t="shared" si="5"/>
        <v>24.27</v>
      </c>
      <c r="E31" s="36">
        <f t="shared" si="5"/>
        <v>26.7</v>
      </c>
      <c r="F31" s="20"/>
      <c r="G31" s="20"/>
    </row>
    <row r="32" spans="1:8" x14ac:dyDescent="0.25">
      <c r="A32" s="20"/>
      <c r="B32" s="20"/>
      <c r="C32" s="20"/>
      <c r="D32" s="20"/>
      <c r="E32" s="20"/>
      <c r="F32" s="20"/>
      <c r="G32" s="20"/>
    </row>
    <row r="33" spans="1:7" x14ac:dyDescent="0.25">
      <c r="A33" s="20"/>
      <c r="B33" s="20"/>
      <c r="C33" s="20"/>
      <c r="D33" s="20"/>
      <c r="E33" s="20"/>
      <c r="F33" s="20"/>
      <c r="G33" s="20"/>
    </row>
    <row r="34" spans="1:7" x14ac:dyDescent="0.25">
      <c r="A34" s="20" t="s">
        <v>214</v>
      </c>
      <c r="B34" s="20"/>
      <c r="C34" s="20"/>
      <c r="D34" s="20"/>
      <c r="E34" s="20"/>
      <c r="F34" s="20"/>
      <c r="G34" s="20"/>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workbookViewId="0">
      <selection activeCell="H12" sqref="H12"/>
    </sheetView>
  </sheetViews>
  <sheetFormatPr defaultRowHeight="15" x14ac:dyDescent="0.25"/>
  <cols>
    <col min="2" max="2" width="15.140625" customWidth="1"/>
    <col min="3" max="3" width="12" customWidth="1"/>
    <col min="4" max="4" width="16.42578125" customWidth="1"/>
    <col min="7" max="7" width="10.5703125" bestFit="1" customWidth="1"/>
  </cols>
  <sheetData>
    <row r="1" spans="1:10" ht="18.75" x14ac:dyDescent="0.3">
      <c r="A1" s="81" t="s">
        <v>215</v>
      </c>
      <c r="B1" s="81"/>
      <c r="C1" s="81"/>
      <c r="D1" s="81"/>
      <c r="E1" s="81"/>
      <c r="F1" s="81"/>
      <c r="G1" s="81"/>
      <c r="H1" s="81"/>
      <c r="I1" s="81"/>
      <c r="J1" s="81"/>
    </row>
    <row r="3" spans="1:10" x14ac:dyDescent="0.25">
      <c r="B3" t="s">
        <v>216</v>
      </c>
    </row>
    <row r="4" spans="1:10" x14ac:dyDescent="0.25">
      <c r="B4" t="s">
        <v>217</v>
      </c>
    </row>
    <row r="5" spans="1:10" x14ac:dyDescent="0.25">
      <c r="B5" t="s">
        <v>218</v>
      </c>
    </row>
    <row r="7" spans="1:10" ht="15.75" customHeight="1" x14ac:dyDescent="0.25">
      <c r="B7" s="2" t="s">
        <v>50</v>
      </c>
      <c r="C7" s="2" t="s">
        <v>226</v>
      </c>
      <c r="D7" s="2" t="s">
        <v>228</v>
      </c>
      <c r="E7" s="2" t="s">
        <v>227</v>
      </c>
      <c r="F7" s="2" t="s">
        <v>427</v>
      </c>
      <c r="G7" s="56">
        <v>0.1</v>
      </c>
    </row>
    <row r="8" spans="1:10" x14ac:dyDescent="0.25">
      <c r="B8" s="43" t="s">
        <v>219</v>
      </c>
      <c r="C8" s="43">
        <v>10</v>
      </c>
      <c r="D8" s="43">
        <v>9100</v>
      </c>
      <c r="E8" s="43">
        <v>10.92</v>
      </c>
      <c r="F8" s="43">
        <f t="shared" ref="F8:F14" si="0">D8*C8*12</f>
        <v>1092000</v>
      </c>
      <c r="G8" s="57">
        <f t="shared" ref="G8:G14" si="1">F8*10%</f>
        <v>109200</v>
      </c>
    </row>
    <row r="9" spans="1:10" x14ac:dyDescent="0.25">
      <c r="B9" s="43" t="s">
        <v>220</v>
      </c>
      <c r="C9" s="43">
        <v>2</v>
      </c>
      <c r="D9" s="43">
        <v>10400</v>
      </c>
      <c r="E9" s="29">
        <v>2.5</v>
      </c>
      <c r="F9" s="43">
        <f t="shared" si="0"/>
        <v>249600</v>
      </c>
      <c r="G9" s="57">
        <f t="shared" si="1"/>
        <v>24960</v>
      </c>
    </row>
    <row r="10" spans="1:10" x14ac:dyDescent="0.25">
      <c r="B10" s="43" t="s">
        <v>221</v>
      </c>
      <c r="C10" s="43">
        <v>2</v>
      </c>
      <c r="D10" s="43">
        <v>10400</v>
      </c>
      <c r="E10" s="29">
        <v>2.5</v>
      </c>
      <c r="F10" s="43">
        <f t="shared" si="0"/>
        <v>249600</v>
      </c>
      <c r="G10" s="57">
        <f t="shared" si="1"/>
        <v>24960</v>
      </c>
    </row>
    <row r="11" spans="1:10" x14ac:dyDescent="0.25">
      <c r="B11" s="43" t="s">
        <v>222</v>
      </c>
      <c r="C11" s="43">
        <v>1</v>
      </c>
      <c r="D11" s="43">
        <v>15000</v>
      </c>
      <c r="E11" s="29">
        <v>1.8</v>
      </c>
      <c r="F11" s="43">
        <f t="shared" si="0"/>
        <v>180000</v>
      </c>
      <c r="G11" s="57">
        <f t="shared" si="1"/>
        <v>18000</v>
      </c>
    </row>
    <row r="12" spans="1:10" x14ac:dyDescent="0.25">
      <c r="B12" s="43" t="s">
        <v>223</v>
      </c>
      <c r="C12" s="43">
        <v>1</v>
      </c>
      <c r="D12" s="43">
        <v>9000</v>
      </c>
      <c r="E12" s="43">
        <v>1.08</v>
      </c>
      <c r="F12" s="43">
        <f t="shared" si="0"/>
        <v>108000</v>
      </c>
      <c r="G12" s="57">
        <f t="shared" si="1"/>
        <v>10800</v>
      </c>
    </row>
    <row r="13" spans="1:10" x14ac:dyDescent="0.25">
      <c r="B13" s="43" t="s">
        <v>224</v>
      </c>
      <c r="C13" s="43">
        <v>2</v>
      </c>
      <c r="D13" s="43">
        <v>6000</v>
      </c>
      <c r="E13" s="43">
        <v>1.44</v>
      </c>
      <c r="F13" s="43">
        <f t="shared" si="0"/>
        <v>144000</v>
      </c>
      <c r="G13" s="57">
        <f t="shared" si="1"/>
        <v>14400</v>
      </c>
    </row>
    <row r="14" spans="1:10" x14ac:dyDescent="0.25">
      <c r="B14" s="43" t="s">
        <v>225</v>
      </c>
      <c r="C14" s="43">
        <v>1</v>
      </c>
      <c r="D14" s="43">
        <v>7000</v>
      </c>
      <c r="E14" s="43">
        <v>0.84</v>
      </c>
      <c r="F14" s="43">
        <f t="shared" si="0"/>
        <v>84000</v>
      </c>
      <c r="G14" s="57">
        <f t="shared" si="1"/>
        <v>8400</v>
      </c>
    </row>
    <row r="15" spans="1:10" x14ac:dyDescent="0.25">
      <c r="B15" s="53" t="s">
        <v>130</v>
      </c>
      <c r="C15" s="47">
        <f>SUM(C8:C14)</f>
        <v>19</v>
      </c>
      <c r="D15" s="53"/>
      <c r="E15" s="47">
        <f>SUM(E8:E14)</f>
        <v>21.08</v>
      </c>
      <c r="F15" s="47"/>
      <c r="G15" s="53">
        <f>SUM(G8:G14)</f>
        <v>210720</v>
      </c>
    </row>
    <row r="16" spans="1:10" x14ac:dyDescent="0.25">
      <c r="C16" s="10" t="s">
        <v>229</v>
      </c>
      <c r="D16" s="10"/>
      <c r="E16" s="29">
        <f>E15*10%</f>
        <v>2.1080000000000001</v>
      </c>
    </row>
    <row r="18" spans="3:10" x14ac:dyDescent="0.25">
      <c r="D18" s="53" t="s">
        <v>71</v>
      </c>
      <c r="E18" s="47">
        <f>E15+E16</f>
        <v>23.187999999999999</v>
      </c>
    </row>
    <row r="20" spans="3:10" x14ac:dyDescent="0.25">
      <c r="D20" s="52" t="s">
        <v>2</v>
      </c>
      <c r="E20" s="52" t="s">
        <v>3</v>
      </c>
      <c r="F20" s="52" t="s">
        <v>4</v>
      </c>
      <c r="G20" s="52" t="s">
        <v>5</v>
      </c>
      <c r="H20" s="52" t="s">
        <v>6</v>
      </c>
      <c r="I20" s="52" t="s">
        <v>7</v>
      </c>
      <c r="J20" s="52" t="s">
        <v>535</v>
      </c>
    </row>
    <row r="21" spans="3:10" x14ac:dyDescent="0.25">
      <c r="C21" t="s">
        <v>308</v>
      </c>
      <c r="D21" s="6">
        <v>4.24</v>
      </c>
      <c r="E21" s="6">
        <v>43.24</v>
      </c>
      <c r="F21" s="6">
        <v>77.2</v>
      </c>
      <c r="G21" s="6">
        <v>105.7</v>
      </c>
      <c r="H21" s="6">
        <v>128.19999999999999</v>
      </c>
      <c r="I21" s="6">
        <v>144.19999999999999</v>
      </c>
      <c r="J21" s="6">
        <v>153.15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7"/>
  <sheetViews>
    <sheetView showGridLines="0" topLeftCell="A22" workbookViewId="0">
      <selection activeCell="C36" sqref="C36:I37"/>
    </sheetView>
  </sheetViews>
  <sheetFormatPr defaultRowHeight="15" x14ac:dyDescent="0.25"/>
  <cols>
    <col min="1" max="1" width="4.42578125" customWidth="1"/>
    <col min="2" max="2" width="33.5703125" customWidth="1"/>
    <col min="3" max="9" width="12.7109375" customWidth="1"/>
  </cols>
  <sheetData>
    <row r="2" spans="1:9" ht="22.5" customHeight="1" x14ac:dyDescent="0.3">
      <c r="B2" s="112" t="s">
        <v>549</v>
      </c>
      <c r="C2" s="81"/>
      <c r="D2" s="81"/>
      <c r="E2" s="81"/>
      <c r="F2" s="81"/>
      <c r="G2" s="81"/>
      <c r="H2" s="81"/>
      <c r="I2" s="81"/>
    </row>
    <row r="3" spans="1:9" x14ac:dyDescent="0.25">
      <c r="C3" s="4" t="s">
        <v>14</v>
      </c>
      <c r="D3" s="4" t="s">
        <v>15</v>
      </c>
      <c r="E3" s="4" t="s">
        <v>16</v>
      </c>
      <c r="F3" s="4" t="s">
        <v>17</v>
      </c>
      <c r="G3" s="4" t="s">
        <v>18</v>
      </c>
      <c r="H3" s="4" t="s">
        <v>19</v>
      </c>
      <c r="I3" s="4" t="s">
        <v>20</v>
      </c>
    </row>
    <row r="4" spans="1:9" ht="18.75" customHeight="1" x14ac:dyDescent="0.25">
      <c r="B4" s="21" t="s">
        <v>327</v>
      </c>
      <c r="C4" s="99" t="s">
        <v>2</v>
      </c>
      <c r="D4" s="99" t="s">
        <v>3</v>
      </c>
      <c r="E4" s="99" t="s">
        <v>4</v>
      </c>
      <c r="F4" s="99" t="s">
        <v>5</v>
      </c>
      <c r="G4" s="99" t="s">
        <v>6</v>
      </c>
      <c r="H4" s="99" t="s">
        <v>7</v>
      </c>
      <c r="I4" s="99" t="s">
        <v>535</v>
      </c>
    </row>
    <row r="5" spans="1:9" ht="18.75" customHeight="1" x14ac:dyDescent="0.25"/>
    <row r="6" spans="1:9" x14ac:dyDescent="0.25">
      <c r="B6" s="7" t="s">
        <v>571</v>
      </c>
      <c r="C6" s="121">
        <f>'Sales Realisation'!B43</f>
        <v>0.4</v>
      </c>
      <c r="D6" s="121">
        <f>'Sales Realisation'!C43</f>
        <v>0.45</v>
      </c>
      <c r="E6" s="121">
        <f>'Sales Realisation'!D43</f>
        <v>0.5</v>
      </c>
      <c r="F6" s="121">
        <f>'Sales Realisation'!E43</f>
        <v>0.52500000000000002</v>
      </c>
      <c r="G6" s="121">
        <f>'Sales Realisation'!F43</f>
        <v>0.55000000000000004</v>
      </c>
      <c r="H6" s="121">
        <f>'Sales Realisation'!G43</f>
        <v>0.57500000000000007</v>
      </c>
      <c r="I6" s="121">
        <f>'Sales Realisation'!H43</f>
        <v>0.60000000000000009</v>
      </c>
    </row>
    <row r="7" spans="1:9" ht="28.5" customHeight="1" x14ac:dyDescent="0.25">
      <c r="A7" s="118" t="s">
        <v>551</v>
      </c>
      <c r="B7" s="113" t="s">
        <v>550</v>
      </c>
      <c r="C7" s="114">
        <f>'Sales Realisation'!B44</f>
        <v>228</v>
      </c>
      <c r="D7" s="114">
        <f>'Sales Realisation'!C44</f>
        <v>384.75</v>
      </c>
      <c r="E7" s="114">
        <f>'Sales Realisation'!D44</f>
        <v>427.5</v>
      </c>
      <c r="F7" s="114">
        <f>'Sales Realisation'!E44</f>
        <v>448.875</v>
      </c>
      <c r="G7" s="114">
        <f>'Sales Realisation'!F44</f>
        <v>470.25000000000006</v>
      </c>
      <c r="H7" s="114">
        <f>'Sales Realisation'!G44</f>
        <v>491.62500000000006</v>
      </c>
      <c r="I7" s="114">
        <f>'Sales Realisation'!H44</f>
        <v>513.00000000000011</v>
      </c>
    </row>
    <row r="9" spans="1:9" x14ac:dyDescent="0.25">
      <c r="A9" s="4" t="s">
        <v>552</v>
      </c>
      <c r="B9" s="3" t="s">
        <v>553</v>
      </c>
      <c r="C9" s="3"/>
      <c r="D9" s="3"/>
      <c r="E9" s="3"/>
      <c r="F9" s="3"/>
      <c r="G9" s="3"/>
      <c r="H9" s="3"/>
      <c r="I9" s="3"/>
    </row>
    <row r="11" spans="1:9" x14ac:dyDescent="0.25">
      <c r="B11" t="s">
        <v>23</v>
      </c>
      <c r="C11" s="114">
        <f>'Raw Material'!B17</f>
        <v>133.9</v>
      </c>
      <c r="D11" s="114">
        <f>'Raw Material'!C17</f>
        <v>225.95625000000001</v>
      </c>
      <c r="E11" s="114">
        <f>'Raw Material'!D17</f>
        <v>251.0625</v>
      </c>
      <c r="F11" s="114">
        <f>'Raw Material'!E17</f>
        <v>263.61562500000002</v>
      </c>
      <c r="G11" s="114">
        <f>'Raw Material'!F17</f>
        <v>276.16875000000005</v>
      </c>
      <c r="H11" s="114">
        <f>'Raw Material'!G17</f>
        <v>288.72187500000001</v>
      </c>
      <c r="I11" s="114">
        <f>'Raw Material'!H17</f>
        <v>301.27500000000003</v>
      </c>
    </row>
    <row r="12" spans="1:9" x14ac:dyDescent="0.25">
      <c r="B12" t="s">
        <v>391</v>
      </c>
      <c r="C12" s="114">
        <f>'Power Expenses'!B23</f>
        <v>9.7551960266666651</v>
      </c>
      <c r="D12" s="114">
        <f>'Power Expenses'!C23</f>
        <v>15.16444845</v>
      </c>
      <c r="E12" s="114">
        <f>'Power Expenses'!D23</f>
        <v>16.826856525</v>
      </c>
      <c r="F12" s="114">
        <f>'Power Expenses'!E23</f>
        <v>17.506199351249997</v>
      </c>
      <c r="G12" s="114">
        <f>'Power Expenses'!F23</f>
        <v>18.617819286375003</v>
      </c>
      <c r="H12" s="114">
        <f>'Power Expenses'!G23</f>
        <v>19.173629253937502</v>
      </c>
      <c r="I12" s="114">
        <f>'Power Expenses'!H23</f>
        <v>20.396411182575005</v>
      </c>
    </row>
    <row r="13" spans="1:9" x14ac:dyDescent="0.25">
      <c r="B13" t="s">
        <v>554</v>
      </c>
      <c r="C13" s="114">
        <f>PL!B14</f>
        <v>4.2</v>
      </c>
      <c r="D13" s="114">
        <f>PL!C14</f>
        <v>4.41</v>
      </c>
      <c r="E13" s="114">
        <f>PL!D14</f>
        <v>4.63</v>
      </c>
      <c r="F13" s="114">
        <f>PL!E14</f>
        <v>4.8600000000000003</v>
      </c>
      <c r="G13" s="114">
        <f>PL!F14</f>
        <v>5.1100000000000003</v>
      </c>
      <c r="H13" s="114">
        <f>PL!G14</f>
        <v>5.36</v>
      </c>
      <c r="I13" s="114">
        <f>PL!H14</f>
        <v>5.63</v>
      </c>
    </row>
    <row r="14" spans="1:9" x14ac:dyDescent="0.25">
      <c r="B14" t="s">
        <v>555</v>
      </c>
      <c r="C14" s="115">
        <f>PL!B34</f>
        <v>4.25</v>
      </c>
      <c r="D14" s="115">
        <f>PL!C34</f>
        <v>4.25</v>
      </c>
      <c r="E14" s="115">
        <f>PL!D34</f>
        <v>4.25</v>
      </c>
      <c r="F14" s="115">
        <f>PL!E34</f>
        <v>4.25</v>
      </c>
      <c r="G14" s="115">
        <f>PL!F34</f>
        <v>4.25</v>
      </c>
      <c r="H14" s="115">
        <f>PL!G34</f>
        <v>4.25</v>
      </c>
      <c r="I14" s="115">
        <f>PL!H34</f>
        <v>4.25</v>
      </c>
    </row>
    <row r="15" spans="1:9" x14ac:dyDescent="0.25">
      <c r="B15" t="s">
        <v>556</v>
      </c>
      <c r="C15" s="114">
        <f>PL!B31</f>
        <v>6.8</v>
      </c>
      <c r="D15" s="114">
        <f>PL!C31</f>
        <v>7.48</v>
      </c>
      <c r="E15" s="114">
        <f>PL!D31</f>
        <v>8.23</v>
      </c>
      <c r="F15" s="114">
        <f>PL!E31</f>
        <v>9.0500000000000007</v>
      </c>
      <c r="G15" s="114">
        <f>PL!F31</f>
        <v>9.0500000000000007</v>
      </c>
      <c r="H15" s="114">
        <f>PL!G31</f>
        <v>9.0500000000000007</v>
      </c>
      <c r="I15" s="114">
        <f>PL!H31</f>
        <v>9.0500000000000007</v>
      </c>
    </row>
    <row r="16" spans="1:9" x14ac:dyDescent="0.25">
      <c r="B16" t="s">
        <v>29</v>
      </c>
      <c r="C16" s="115">
        <f>PL!B19</f>
        <v>15.75</v>
      </c>
      <c r="D16" s="115">
        <f>PL!C19</f>
        <v>17.329999999999998</v>
      </c>
      <c r="E16" s="115">
        <f>PL!D19</f>
        <v>19.059999999999999</v>
      </c>
      <c r="F16" s="115">
        <f>PL!E19</f>
        <v>20.96</v>
      </c>
      <c r="G16" s="115">
        <f>PL!F19</f>
        <v>23.06</v>
      </c>
      <c r="H16" s="115">
        <f>PL!G19</f>
        <v>25.37</v>
      </c>
      <c r="I16" s="115">
        <f>PL!H19</f>
        <v>27.9</v>
      </c>
    </row>
    <row r="17" spans="1:9" ht="20.25" customHeight="1" x14ac:dyDescent="0.25">
      <c r="B17" s="117" t="s">
        <v>130</v>
      </c>
      <c r="C17" s="116">
        <f>SUM(C11:C16)</f>
        <v>174.65519602666666</v>
      </c>
      <c r="D17" s="116">
        <f t="shared" ref="D17:I17" si="0">SUM(D11:D16)</f>
        <v>274.59069844999999</v>
      </c>
      <c r="E17" s="116">
        <f t="shared" si="0"/>
        <v>304.059356525</v>
      </c>
      <c r="F17" s="116">
        <f t="shared" si="0"/>
        <v>320.24182435125005</v>
      </c>
      <c r="G17" s="116">
        <f t="shared" si="0"/>
        <v>336.25656928637505</v>
      </c>
      <c r="H17" s="116">
        <f t="shared" si="0"/>
        <v>351.92550425393756</v>
      </c>
      <c r="I17" s="116">
        <f t="shared" si="0"/>
        <v>368.501411182575</v>
      </c>
    </row>
    <row r="19" spans="1:9" x14ac:dyDescent="0.25">
      <c r="A19" s="118" t="s">
        <v>557</v>
      </c>
      <c r="B19" s="119" t="s">
        <v>558</v>
      </c>
    </row>
    <row r="21" spans="1:9" x14ac:dyDescent="0.25">
      <c r="B21" t="s">
        <v>559</v>
      </c>
      <c r="C21" s="114">
        <f>PL!B18</f>
        <v>6.51</v>
      </c>
      <c r="D21" s="115">
        <f>PL!C18</f>
        <v>6.51</v>
      </c>
      <c r="E21" s="115">
        <f>PL!D18</f>
        <v>7.16</v>
      </c>
      <c r="F21" s="115">
        <f>PL!E18</f>
        <v>7.16</v>
      </c>
      <c r="G21" s="115">
        <f>PL!F18</f>
        <v>7.16</v>
      </c>
      <c r="H21" s="115">
        <f>PL!G18</f>
        <v>7.16</v>
      </c>
      <c r="I21" s="115">
        <f>PL!H18</f>
        <v>7.16</v>
      </c>
    </row>
    <row r="22" spans="1:9" x14ac:dyDescent="0.25">
      <c r="B22" t="s">
        <v>560</v>
      </c>
      <c r="C22" s="114">
        <f>PL!B17</f>
        <v>19.323333333333334</v>
      </c>
      <c r="D22" s="114">
        <f>PL!C17</f>
        <v>23.187999999999999</v>
      </c>
      <c r="E22" s="114">
        <f>PL!D17</f>
        <v>23.187999999999999</v>
      </c>
      <c r="F22" s="114">
        <f>PL!E17</f>
        <v>23.187999999999999</v>
      </c>
      <c r="G22" s="114">
        <f>PL!F17</f>
        <v>23.187999999999999</v>
      </c>
      <c r="H22" s="114">
        <f>PL!G17</f>
        <v>23.187999999999999</v>
      </c>
      <c r="I22" s="114">
        <f>PL!H17</f>
        <v>23.187999999999999</v>
      </c>
    </row>
    <row r="23" spans="1:9" x14ac:dyDescent="0.25">
      <c r="B23" t="s">
        <v>561</v>
      </c>
      <c r="C23" s="114">
        <f>PL!B30</f>
        <v>8.4</v>
      </c>
      <c r="D23" s="114">
        <f>PL!C30</f>
        <v>9.24</v>
      </c>
      <c r="E23" s="114">
        <f>PL!D30</f>
        <v>10.16</v>
      </c>
      <c r="F23" s="114">
        <f>PL!E30</f>
        <v>11.18</v>
      </c>
      <c r="G23" s="114">
        <f>PL!F30</f>
        <v>11.18</v>
      </c>
      <c r="H23" s="114">
        <f>PL!G30</f>
        <v>11.18</v>
      </c>
      <c r="I23" s="114">
        <f>PL!H30</f>
        <v>11.18</v>
      </c>
    </row>
    <row r="24" spans="1:9" x14ac:dyDescent="0.25">
      <c r="B24" t="s">
        <v>40</v>
      </c>
      <c r="C24" s="114">
        <f>PL!B33</f>
        <v>0</v>
      </c>
      <c r="D24" s="114">
        <f>PL!C33</f>
        <v>17.374944387917754</v>
      </c>
      <c r="E24" s="114">
        <f>PL!D33</f>
        <v>14.853016061633596</v>
      </c>
      <c r="F24" s="114">
        <f>PL!E33</f>
        <v>12.109793665111074</v>
      </c>
      <c r="G24" s="114">
        <f>PL!F33</f>
        <v>9.1258590947457741</v>
      </c>
      <c r="H24" s="114">
        <f>PL!G33</f>
        <v>5.8800903479215227</v>
      </c>
      <c r="I24" s="114">
        <f>PL!H33</f>
        <v>2.3495120093450965</v>
      </c>
    </row>
    <row r="25" spans="1:9" x14ac:dyDescent="0.25">
      <c r="B25" t="s">
        <v>30</v>
      </c>
      <c r="C25" s="114">
        <f>PL!B39</f>
        <v>25.633333333333336</v>
      </c>
      <c r="D25" s="114">
        <f>PL!C39</f>
        <v>38.451383999999997</v>
      </c>
      <c r="E25" s="114">
        <f>PL!D39</f>
        <v>38.451383999999997</v>
      </c>
      <c r="F25" s="114">
        <f>PL!E39</f>
        <v>38.451383999999997</v>
      </c>
      <c r="G25" s="114">
        <f>PL!F39</f>
        <v>38.451383999999997</v>
      </c>
      <c r="H25" s="114">
        <f>PL!G39</f>
        <v>38.451383999999997</v>
      </c>
      <c r="I25" s="114">
        <f>PL!H39</f>
        <v>38.451383999999997</v>
      </c>
    </row>
    <row r="26" spans="1:9" x14ac:dyDescent="0.25">
      <c r="B26" t="s">
        <v>562</v>
      </c>
      <c r="C26" s="114">
        <f>CFS!B26</f>
        <v>0</v>
      </c>
      <c r="D26" s="114">
        <f>CFS!C26</f>
        <v>0</v>
      </c>
      <c r="E26" s="114">
        <f>CFS!D26</f>
        <v>0</v>
      </c>
      <c r="F26" s="114">
        <f>CFS!E26</f>
        <v>0</v>
      </c>
      <c r="G26" s="114">
        <f>CFS!F26</f>
        <v>0</v>
      </c>
      <c r="H26" s="114">
        <f>CFS!G26</f>
        <v>0</v>
      </c>
      <c r="I26" s="114">
        <f>CFS!H26</f>
        <v>0</v>
      </c>
    </row>
    <row r="27" spans="1:9" ht="18.75" customHeight="1" x14ac:dyDescent="0.25">
      <c r="B27" s="117" t="s">
        <v>130</v>
      </c>
      <c r="C27" s="116">
        <f>SUM(C21:C26)</f>
        <v>59.866666666666674</v>
      </c>
      <c r="D27" s="116">
        <f t="shared" ref="D27" si="1">SUM(D21:D26)</f>
        <v>94.764328387917743</v>
      </c>
      <c r="E27" s="116">
        <f t="shared" ref="E27" si="2">SUM(E21:E26)</f>
        <v>93.812400061633582</v>
      </c>
      <c r="F27" s="116">
        <f t="shared" ref="F27" si="3">SUM(F21:F26)</f>
        <v>92.089177665111066</v>
      </c>
      <c r="G27" s="116">
        <f t="shared" ref="G27" si="4">SUM(G21:G26)</f>
        <v>89.105243094745759</v>
      </c>
      <c r="H27" s="116">
        <f t="shared" ref="H27" si="5">SUM(H21:H26)</f>
        <v>85.85947434792152</v>
      </c>
      <c r="I27" s="116">
        <f t="shared" ref="I27" si="6">SUM(I21:I26)</f>
        <v>82.328896009345101</v>
      </c>
    </row>
    <row r="29" spans="1:9" x14ac:dyDescent="0.25">
      <c r="A29" s="118" t="s">
        <v>563</v>
      </c>
      <c r="B29" s="3" t="s">
        <v>564</v>
      </c>
      <c r="C29" s="120">
        <f>C7-C17</f>
        <v>53.344803973333342</v>
      </c>
      <c r="D29" s="120">
        <f t="shared" ref="D29:I29" si="7">D7-D17</f>
        <v>110.15930155000001</v>
      </c>
      <c r="E29" s="120">
        <f t="shared" si="7"/>
        <v>123.440643475</v>
      </c>
      <c r="F29" s="120">
        <f t="shared" si="7"/>
        <v>128.63317564874995</v>
      </c>
      <c r="G29" s="120">
        <f t="shared" si="7"/>
        <v>133.993430713625</v>
      </c>
      <c r="H29" s="120">
        <f t="shared" si="7"/>
        <v>139.6994957460625</v>
      </c>
      <c r="I29" s="120">
        <f t="shared" si="7"/>
        <v>144.49858881742512</v>
      </c>
    </row>
    <row r="31" spans="1:9" x14ac:dyDescent="0.25">
      <c r="A31" s="118" t="s">
        <v>565</v>
      </c>
      <c r="B31" s="3" t="s">
        <v>566</v>
      </c>
    </row>
    <row r="32" spans="1:9" x14ac:dyDescent="0.25">
      <c r="B32" t="s">
        <v>567</v>
      </c>
      <c r="C32" s="114">
        <f>C27/(C29/C7)</f>
        <v>255.87496781923377</v>
      </c>
      <c r="D32" s="114">
        <f t="shared" ref="D32:I32" si="8">D27/(D29/D7)</f>
        <v>330.98045134847126</v>
      </c>
      <c r="E32" s="114">
        <f t="shared" si="8"/>
        <v>324.89138015932849</v>
      </c>
      <c r="F32" s="114">
        <f t="shared" si="8"/>
        <v>321.35201059874038</v>
      </c>
      <c r="G32" s="114">
        <f t="shared" si="8"/>
        <v>312.71488715635559</v>
      </c>
      <c r="H32" s="114">
        <f t="shared" si="8"/>
        <v>302.15330306578181</v>
      </c>
      <c r="I32" s="114">
        <f t="shared" si="8"/>
        <v>292.28467903003462</v>
      </c>
    </row>
    <row r="33" spans="1:9" x14ac:dyDescent="0.25">
      <c r="B33" s="7" t="s">
        <v>568</v>
      </c>
      <c r="C33" s="114">
        <f>(C27-C25)/(C29/C7)</f>
        <v>146.31603115275783</v>
      </c>
      <c r="D33" s="114">
        <f t="shared" ref="D33:I33" si="9">(D27-D25)/(D29/D7)</f>
        <v>196.68248662068021</v>
      </c>
      <c r="E33" s="114">
        <f t="shared" si="9"/>
        <v>191.7264338559732</v>
      </c>
      <c r="F33" s="114">
        <f t="shared" si="9"/>
        <v>187.17305632857324</v>
      </c>
      <c r="G33" s="114">
        <f t="shared" si="9"/>
        <v>177.76973925097121</v>
      </c>
      <c r="H33" s="114">
        <f t="shared" si="9"/>
        <v>166.83669681716688</v>
      </c>
      <c r="I33" s="114">
        <f t="shared" si="9"/>
        <v>155.7742801850786</v>
      </c>
    </row>
    <row r="35" spans="1:9" x14ac:dyDescent="0.25">
      <c r="A35" s="118" t="s">
        <v>569</v>
      </c>
      <c r="B35" s="3" t="s">
        <v>570</v>
      </c>
    </row>
    <row r="36" spans="1:9" x14ac:dyDescent="0.25">
      <c r="B36" t="s">
        <v>567</v>
      </c>
      <c r="C36" s="122">
        <f t="shared" ref="C36:I36" si="10">C27/C29*C6</f>
        <v>0.44890345231444517</v>
      </c>
      <c r="D36" s="122">
        <f t="shared" si="10"/>
        <v>0.38711163900405993</v>
      </c>
      <c r="E36" s="122">
        <f t="shared" si="10"/>
        <v>0.37998991831500406</v>
      </c>
      <c r="F36" s="122">
        <f t="shared" si="10"/>
        <v>0.3758503047938484</v>
      </c>
      <c r="G36" s="122">
        <f t="shared" si="10"/>
        <v>0.36574840603082526</v>
      </c>
      <c r="H36" s="122">
        <f t="shared" si="10"/>
        <v>0.35339567610032963</v>
      </c>
      <c r="I36" s="122">
        <f t="shared" si="10"/>
        <v>0.34185342576612227</v>
      </c>
    </row>
    <row r="37" spans="1:9" x14ac:dyDescent="0.25">
      <c r="B37" s="7" t="s">
        <v>568</v>
      </c>
      <c r="C37" s="122">
        <f t="shared" ref="C37:I37" si="11">(C27-C25)/C29*C6</f>
        <v>0.25669479149606639</v>
      </c>
      <c r="D37" s="122">
        <f t="shared" si="11"/>
        <v>0.23003799604757919</v>
      </c>
      <c r="E37" s="122">
        <f t="shared" si="11"/>
        <v>0.2242414431064014</v>
      </c>
      <c r="F37" s="122">
        <f t="shared" si="11"/>
        <v>0.21891585535505642</v>
      </c>
      <c r="G37" s="122">
        <f t="shared" si="11"/>
        <v>0.20791782368534648</v>
      </c>
      <c r="H37" s="122">
        <f t="shared" si="11"/>
        <v>0.19513063955224194</v>
      </c>
      <c r="I37" s="122">
        <f t="shared" si="11"/>
        <v>0.18219214056734337</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1"/>
  <sheetViews>
    <sheetView topLeftCell="A25" workbookViewId="0">
      <selection activeCell="R10" sqref="R10"/>
    </sheetView>
  </sheetViews>
  <sheetFormatPr defaultRowHeight="15" x14ac:dyDescent="0.25"/>
  <cols>
    <col min="9" max="9" width="11.7109375" customWidth="1"/>
    <col min="11" max="11" width="13.85546875" bestFit="1" customWidth="1"/>
    <col min="12" max="12" width="13.140625" bestFit="1" customWidth="1"/>
    <col min="13" max="13" width="11.5703125" bestFit="1" customWidth="1"/>
    <col min="14" max="14" width="14.140625" bestFit="1" customWidth="1"/>
  </cols>
  <sheetData>
    <row r="1" spans="1:14" ht="18.75" x14ac:dyDescent="0.3">
      <c r="A1" s="81" t="s">
        <v>230</v>
      </c>
      <c r="B1" s="81"/>
      <c r="C1" s="81"/>
      <c r="D1" s="81"/>
      <c r="E1" s="81"/>
      <c r="F1" s="81"/>
      <c r="G1" s="81"/>
      <c r="H1" s="81"/>
      <c r="I1" s="81"/>
      <c r="J1" s="81"/>
      <c r="K1" s="81"/>
      <c r="L1" s="81"/>
      <c r="M1" s="81"/>
      <c r="N1" s="81"/>
    </row>
    <row r="2" spans="1:14" x14ac:dyDescent="0.25">
      <c r="A2" t="s">
        <v>231</v>
      </c>
      <c r="C2">
        <v>215</v>
      </c>
      <c r="D2" t="s">
        <v>232</v>
      </c>
      <c r="I2" s="53" t="s">
        <v>231</v>
      </c>
      <c r="J2" s="10"/>
      <c r="K2" s="10">
        <f>21500000/100000</f>
        <v>215</v>
      </c>
      <c r="L2" s="10" t="s">
        <v>232</v>
      </c>
    </row>
    <row r="3" spans="1:14" x14ac:dyDescent="0.25">
      <c r="A3" t="s">
        <v>233</v>
      </c>
      <c r="C3" s="9">
        <v>8.5000000000000006E-2</v>
      </c>
      <c r="D3" t="s">
        <v>234</v>
      </c>
      <c r="E3" s="6">
        <f>C2*C3</f>
        <v>18.275000000000002</v>
      </c>
      <c r="I3" s="53" t="s">
        <v>233</v>
      </c>
      <c r="J3" s="10"/>
      <c r="K3" s="13">
        <v>8.5000000000000006E-2</v>
      </c>
      <c r="L3" s="10" t="s">
        <v>234</v>
      </c>
    </row>
    <row r="4" spans="1:14" x14ac:dyDescent="0.25">
      <c r="A4" t="s">
        <v>235</v>
      </c>
      <c r="C4">
        <v>24</v>
      </c>
      <c r="I4" s="53" t="s">
        <v>245</v>
      </c>
      <c r="J4" s="10"/>
      <c r="K4" s="10">
        <v>4</v>
      </c>
      <c r="L4" s="10"/>
    </row>
    <row r="5" spans="1:14" x14ac:dyDescent="0.25">
      <c r="A5" s="20"/>
      <c r="B5" s="20"/>
      <c r="C5" s="20"/>
      <c r="D5" s="20"/>
      <c r="E5" s="20"/>
      <c r="F5" s="20" t="s">
        <v>158</v>
      </c>
      <c r="I5" s="53" t="s">
        <v>242</v>
      </c>
      <c r="J5" s="10"/>
      <c r="K5" s="10">
        <v>6</v>
      </c>
      <c r="L5" s="10"/>
    </row>
    <row r="6" spans="1:14" x14ac:dyDescent="0.25">
      <c r="A6" s="20" t="s">
        <v>180</v>
      </c>
      <c r="B6" s="20" t="s">
        <v>236</v>
      </c>
      <c r="C6" s="20" t="s">
        <v>237</v>
      </c>
      <c r="D6" s="20" t="s">
        <v>238</v>
      </c>
      <c r="E6" s="20" t="s">
        <v>239</v>
      </c>
      <c r="F6" s="20" t="s">
        <v>240</v>
      </c>
      <c r="N6" s="54" t="s">
        <v>158</v>
      </c>
    </row>
    <row r="7" spans="1:14" x14ac:dyDescent="0.25">
      <c r="A7" s="20"/>
      <c r="B7" s="20"/>
      <c r="C7" s="20"/>
      <c r="D7" s="20"/>
      <c r="E7" s="20"/>
      <c r="F7" s="20"/>
      <c r="H7" s="2" t="s">
        <v>180</v>
      </c>
      <c r="I7" s="52" t="s">
        <v>236</v>
      </c>
      <c r="J7" s="52" t="s">
        <v>246</v>
      </c>
      <c r="K7" s="52" t="s">
        <v>243</v>
      </c>
      <c r="L7" s="52" t="s">
        <v>244</v>
      </c>
      <c r="M7" s="59" t="s">
        <v>240</v>
      </c>
      <c r="N7" s="52" t="s">
        <v>239</v>
      </c>
    </row>
    <row r="8" spans="1:14" x14ac:dyDescent="0.25">
      <c r="A8" s="20" t="s">
        <v>241</v>
      </c>
      <c r="B8" s="20" t="s">
        <v>14</v>
      </c>
      <c r="C8" s="36">
        <v>0</v>
      </c>
      <c r="D8" s="36">
        <v>0</v>
      </c>
      <c r="E8" s="36">
        <v>0</v>
      </c>
      <c r="F8" s="36">
        <v>0</v>
      </c>
      <c r="H8" s="15" t="s">
        <v>3</v>
      </c>
      <c r="I8" s="43" t="s">
        <v>14</v>
      </c>
      <c r="J8" s="43">
        <v>1</v>
      </c>
      <c r="K8" s="29">
        <f>(PMT($K$3/$K$4,$K$5*$K$4,-$K$2))</f>
        <v>11.528883981944785</v>
      </c>
      <c r="L8" s="29">
        <f>(PPMT($K$3/$K$4,J8,$K$5*$K$4,-$K$2))</f>
        <v>6.9601339819447849</v>
      </c>
      <c r="M8" s="29">
        <f>IPMT($K$3/$K$4,J8,$K$5*$K$4,-$K$2)</f>
        <v>4.5687500000000005</v>
      </c>
      <c r="N8" s="29">
        <f>K2-L8</f>
        <v>208.03986601805522</v>
      </c>
    </row>
    <row r="9" spans="1:14" x14ac:dyDescent="0.25">
      <c r="A9" s="20"/>
      <c r="B9" s="20" t="s">
        <v>15</v>
      </c>
      <c r="C9" s="36">
        <v>0</v>
      </c>
      <c r="D9" s="36">
        <v>0</v>
      </c>
      <c r="E9" s="36">
        <v>0</v>
      </c>
      <c r="F9" s="36">
        <v>0</v>
      </c>
      <c r="H9" s="10"/>
      <c r="I9" s="43" t="s">
        <v>15</v>
      </c>
      <c r="J9" s="43">
        <v>2</v>
      </c>
      <c r="K9" s="29">
        <f>(PMT($K$3/$K$4,$K$5*$K$4,-$K$2))</f>
        <v>11.528883981944785</v>
      </c>
      <c r="L9" s="29">
        <f>(PPMT($K$3/$K$4,J9,$K$5*$K$4,-$K$2))</f>
        <v>7.1080368290611107</v>
      </c>
      <c r="M9" s="29">
        <f>IPMT($K$3/$K$4,J9,$K$5*$K$4,-$K$2)</f>
        <v>4.4208471528836739</v>
      </c>
      <c r="N9" s="29">
        <f>N8-L9</f>
        <v>200.9318291889941</v>
      </c>
    </row>
    <row r="10" spans="1:14" x14ac:dyDescent="0.25">
      <c r="A10" s="20"/>
      <c r="B10" s="20" t="s">
        <v>16</v>
      </c>
      <c r="C10" s="36">
        <v>0</v>
      </c>
      <c r="D10" s="36">
        <v>0</v>
      </c>
      <c r="E10" s="36">
        <v>0</v>
      </c>
      <c r="F10" s="36">
        <v>0</v>
      </c>
      <c r="H10" s="10"/>
      <c r="I10" s="43" t="s">
        <v>16</v>
      </c>
      <c r="J10" s="43">
        <v>3</v>
      </c>
      <c r="K10" s="29">
        <f>(PMT($K$3/$K$4,$K$5*$K$4,-$K$2))</f>
        <v>11.528883981944785</v>
      </c>
      <c r="L10" s="29">
        <f>(PPMT($K$3/$K$4,J10,$K$5*$K$4,-$K$2))</f>
        <v>7.25908261167866</v>
      </c>
      <c r="M10" s="29">
        <f>IPMT($K$3/$K$4,J10,$K$5*$K$4,-$K$2)</f>
        <v>4.2698013702661246</v>
      </c>
      <c r="N10" s="29">
        <f t="shared" ref="N10:N36" si="0">N9-L10</f>
        <v>193.67274657731545</v>
      </c>
    </row>
    <row r="11" spans="1:14" x14ac:dyDescent="0.25">
      <c r="A11" s="20"/>
      <c r="B11" s="20" t="s">
        <v>17</v>
      </c>
      <c r="C11" s="36">
        <v>0</v>
      </c>
      <c r="D11" s="36">
        <v>0</v>
      </c>
      <c r="E11" s="36">
        <v>0</v>
      </c>
      <c r="F11" s="36">
        <v>0</v>
      </c>
      <c r="H11" s="10"/>
      <c r="I11" s="43" t="s">
        <v>17</v>
      </c>
      <c r="J11" s="43">
        <v>4</v>
      </c>
      <c r="K11" s="29">
        <f>(PMT($K$3/$K$4,$K$5*$K$4,-$K$2))</f>
        <v>11.528883981944785</v>
      </c>
      <c r="L11" s="29">
        <f>(PPMT($K$3/$K$4,J11,$K$5*$K$4,-$K$2))</f>
        <v>7.4133381171768313</v>
      </c>
      <c r="M11" s="29">
        <f>IPMT($K$3/$K$4,J11,$K$5*$K$4,-$K$2)</f>
        <v>4.1155458647679533</v>
      </c>
      <c r="N11" s="29">
        <f t="shared" si="0"/>
        <v>186.25940846013862</v>
      </c>
    </row>
    <row r="12" spans="1:14" x14ac:dyDescent="0.25">
      <c r="A12" s="20"/>
      <c r="B12" s="20"/>
      <c r="C12" s="20"/>
      <c r="D12" s="20"/>
      <c r="E12" s="20"/>
      <c r="F12" s="20"/>
      <c r="H12" s="53" t="s">
        <v>130</v>
      </c>
      <c r="I12" s="58"/>
      <c r="J12" s="58"/>
      <c r="K12" s="58">
        <f>SUM(K8:K11)</f>
        <v>46.115535927779142</v>
      </c>
      <c r="L12" s="58"/>
      <c r="M12" s="58">
        <f>SUM(M8:M11)</f>
        <v>17.374944387917754</v>
      </c>
      <c r="N12" s="58"/>
    </row>
    <row r="13" spans="1:14" x14ac:dyDescent="0.25">
      <c r="A13" s="20"/>
      <c r="B13" s="20"/>
      <c r="C13" s="20"/>
      <c r="D13" s="36">
        <f>SUM(D8:D11)</f>
        <v>0</v>
      </c>
      <c r="E13" s="20"/>
      <c r="F13" s="36">
        <f>SUM(F8:F11)</f>
        <v>0</v>
      </c>
      <c r="H13" s="15" t="s">
        <v>4</v>
      </c>
      <c r="I13" s="43" t="s">
        <v>14</v>
      </c>
      <c r="J13" s="43">
        <v>5</v>
      </c>
      <c r="K13" s="29">
        <f t="shared" ref="K13:K36" si="1">PMT($K$3/$K$4,$K$5*$K$4,-$K$2)</f>
        <v>11.528883981944785</v>
      </c>
      <c r="L13" s="29">
        <f t="shared" ref="L13:L36" si="2">PPMT($K$3/$K$4,J13,$K$5*$K$4,-$K$2)</f>
        <v>7.5708715521668397</v>
      </c>
      <c r="M13" s="29">
        <f t="shared" ref="M13:M36" si="3">IPMT($K$3/$K$4,J13,$K$5*$K$4,-$K$2)</f>
        <v>3.9580124297779458</v>
      </c>
      <c r="N13" s="29">
        <f>N11-L13</f>
        <v>178.68853690797178</v>
      </c>
    </row>
    <row r="14" spans="1:14" x14ac:dyDescent="0.25">
      <c r="A14" s="20"/>
      <c r="B14" s="20"/>
      <c r="C14" s="20"/>
      <c r="D14" s="20"/>
      <c r="E14" s="20"/>
      <c r="F14" s="20"/>
      <c r="H14" s="15"/>
      <c r="I14" s="43" t="s">
        <v>15</v>
      </c>
      <c r="J14" s="43">
        <v>6</v>
      </c>
      <c r="K14" s="29">
        <f t="shared" si="1"/>
        <v>11.528883981944785</v>
      </c>
      <c r="L14" s="29">
        <f t="shared" si="2"/>
        <v>7.7317525726503851</v>
      </c>
      <c r="M14" s="29">
        <f t="shared" si="3"/>
        <v>3.7971314092944004</v>
      </c>
      <c r="N14" s="29">
        <f t="shared" si="0"/>
        <v>170.9567843353214</v>
      </c>
    </row>
    <row r="15" spans="1:14" x14ac:dyDescent="0.25">
      <c r="A15" s="20"/>
      <c r="B15" s="20"/>
      <c r="C15" s="20"/>
      <c r="D15" s="20"/>
      <c r="E15" s="20"/>
      <c r="F15" s="20" t="s">
        <v>158</v>
      </c>
      <c r="H15" s="15"/>
      <c r="I15" s="43" t="s">
        <v>16</v>
      </c>
      <c r="J15" s="43">
        <v>7</v>
      </c>
      <c r="K15" s="29">
        <f t="shared" si="1"/>
        <v>11.528883981944785</v>
      </c>
      <c r="L15" s="29">
        <f t="shared" si="2"/>
        <v>7.8960523148192054</v>
      </c>
      <c r="M15" s="29">
        <f t="shared" si="3"/>
        <v>3.63283166712558</v>
      </c>
      <c r="N15" s="29">
        <f t="shared" si="0"/>
        <v>163.0607320205022</v>
      </c>
    </row>
    <row r="16" spans="1:14" x14ac:dyDescent="0.25">
      <c r="A16" s="20"/>
      <c r="B16" s="20" t="s">
        <v>236</v>
      </c>
      <c r="C16" s="20" t="s">
        <v>237</v>
      </c>
      <c r="D16" s="20" t="s">
        <v>238</v>
      </c>
      <c r="E16" s="20" t="s">
        <v>239</v>
      </c>
      <c r="F16" s="20" t="s">
        <v>240</v>
      </c>
      <c r="G16" s="6"/>
      <c r="H16" s="15"/>
      <c r="I16" s="43" t="s">
        <v>17</v>
      </c>
      <c r="J16" s="43">
        <v>8</v>
      </c>
      <c r="K16" s="29">
        <f t="shared" si="1"/>
        <v>11.528883981944785</v>
      </c>
      <c r="L16" s="29">
        <f t="shared" si="2"/>
        <v>8.0638434265091128</v>
      </c>
      <c r="M16" s="29">
        <f t="shared" si="3"/>
        <v>3.4650405554356718</v>
      </c>
      <c r="N16" s="29">
        <f t="shared" si="0"/>
        <v>154.99688859399308</v>
      </c>
    </row>
    <row r="17" spans="1:14" x14ac:dyDescent="0.25">
      <c r="A17" s="20" t="s">
        <v>1</v>
      </c>
      <c r="B17" s="20" t="s">
        <v>14</v>
      </c>
      <c r="C17" s="36">
        <v>215</v>
      </c>
      <c r="D17" s="36">
        <v>0</v>
      </c>
      <c r="E17" s="36">
        <v>215</v>
      </c>
      <c r="F17" s="20">
        <v>4.57</v>
      </c>
      <c r="H17" s="53" t="s">
        <v>130</v>
      </c>
      <c r="I17" s="58"/>
      <c r="J17" s="58"/>
      <c r="K17" s="58">
        <f>SUM(K13:K16)</f>
        <v>46.115535927779142</v>
      </c>
      <c r="L17" s="58"/>
      <c r="M17" s="58">
        <f>SUM(M13:M16)</f>
        <v>14.853016061633596</v>
      </c>
      <c r="N17" s="58"/>
    </row>
    <row r="18" spans="1:14" x14ac:dyDescent="0.25">
      <c r="A18" s="20"/>
      <c r="B18" s="20" t="s">
        <v>15</v>
      </c>
      <c r="C18" s="36">
        <v>215</v>
      </c>
      <c r="D18" s="36">
        <v>0</v>
      </c>
      <c r="E18" s="36">
        <v>215</v>
      </c>
      <c r="F18" s="20">
        <v>4.57</v>
      </c>
      <c r="H18" s="15" t="s">
        <v>5</v>
      </c>
      <c r="I18" s="43" t="s">
        <v>14</v>
      </c>
      <c r="J18" s="43">
        <v>9</v>
      </c>
      <c r="K18" s="29">
        <f t="shared" si="1"/>
        <v>11.528883981944785</v>
      </c>
      <c r="L18" s="29">
        <f t="shared" si="2"/>
        <v>8.2352000993224319</v>
      </c>
      <c r="M18" s="29">
        <f t="shared" si="3"/>
        <v>3.2936838826223536</v>
      </c>
      <c r="N18" s="29">
        <f>N16-L18</f>
        <v>146.76168849467064</v>
      </c>
    </row>
    <row r="19" spans="1:14" x14ac:dyDescent="0.25">
      <c r="A19" s="20"/>
      <c r="B19" s="20" t="s">
        <v>16</v>
      </c>
      <c r="C19" s="36">
        <v>215</v>
      </c>
      <c r="D19" s="36">
        <v>0</v>
      </c>
      <c r="E19" s="36">
        <v>215</v>
      </c>
      <c r="F19" s="20">
        <v>4.57</v>
      </c>
      <c r="H19" s="15"/>
      <c r="I19" s="43" t="s">
        <v>15</v>
      </c>
      <c r="J19" s="43">
        <v>10</v>
      </c>
      <c r="K19" s="29">
        <f t="shared" si="1"/>
        <v>11.528883981944785</v>
      </c>
      <c r="L19" s="29">
        <f t="shared" si="2"/>
        <v>8.410198101433032</v>
      </c>
      <c r="M19" s="29">
        <f t="shared" si="3"/>
        <v>3.1186858805117512</v>
      </c>
      <c r="N19" s="29">
        <f t="shared" si="0"/>
        <v>138.35149039323761</v>
      </c>
    </row>
    <row r="20" spans="1:14" x14ac:dyDescent="0.25">
      <c r="A20" s="20"/>
      <c r="B20" s="20" t="s">
        <v>17</v>
      </c>
      <c r="C20" s="36">
        <v>215</v>
      </c>
      <c r="D20" s="36">
        <v>0</v>
      </c>
      <c r="E20" s="36">
        <v>215</v>
      </c>
      <c r="F20" s="20">
        <v>4.57</v>
      </c>
      <c r="H20" s="15"/>
      <c r="I20" s="43" t="s">
        <v>16</v>
      </c>
      <c r="J20" s="43">
        <v>11</v>
      </c>
      <c r="K20" s="29">
        <f t="shared" si="1"/>
        <v>11.528883981944785</v>
      </c>
      <c r="L20" s="29">
        <f t="shared" si="2"/>
        <v>8.5889148110884861</v>
      </c>
      <c r="M20" s="29">
        <f t="shared" si="3"/>
        <v>2.9399691708562994</v>
      </c>
      <c r="N20" s="29">
        <f t="shared" si="0"/>
        <v>129.76257558214911</v>
      </c>
    </row>
    <row r="21" spans="1:14" x14ac:dyDescent="0.25">
      <c r="A21" s="20"/>
      <c r="B21" s="20"/>
      <c r="C21" s="20"/>
      <c r="D21" s="37">
        <f>SUM(D17:D20)</f>
        <v>0</v>
      </c>
      <c r="E21" s="20"/>
      <c r="F21" s="38">
        <f>SUM(F17:F20)</f>
        <v>18.28</v>
      </c>
      <c r="H21" s="15"/>
      <c r="I21" s="43" t="s">
        <v>17</v>
      </c>
      <c r="J21" s="43">
        <v>12</v>
      </c>
      <c r="K21" s="29">
        <f t="shared" si="1"/>
        <v>11.528883981944785</v>
      </c>
      <c r="L21" s="29">
        <f t="shared" si="2"/>
        <v>8.7714292508241147</v>
      </c>
      <c r="M21" s="29">
        <f t="shared" si="3"/>
        <v>2.7574547311206694</v>
      </c>
      <c r="N21" s="29">
        <f t="shared" si="0"/>
        <v>120.991146331325</v>
      </c>
    </row>
    <row r="22" spans="1:14" x14ac:dyDescent="0.25">
      <c r="A22" s="20"/>
      <c r="B22" s="20"/>
      <c r="C22" s="20"/>
      <c r="D22" s="20"/>
      <c r="E22" s="20"/>
      <c r="F22" s="20"/>
      <c r="H22" s="53" t="s">
        <v>130</v>
      </c>
      <c r="I22" s="58"/>
      <c r="J22" s="58"/>
      <c r="K22" s="58">
        <f>SUM(K18:K21)</f>
        <v>46.115535927779142</v>
      </c>
      <c r="L22" s="58"/>
      <c r="M22" s="58">
        <f>SUM(M18:M21)</f>
        <v>12.109793665111074</v>
      </c>
      <c r="N22" s="58"/>
    </row>
    <row r="23" spans="1:14" x14ac:dyDescent="0.25">
      <c r="A23" s="20"/>
      <c r="B23" s="20" t="s">
        <v>236</v>
      </c>
      <c r="C23" s="20" t="s">
        <v>237</v>
      </c>
      <c r="D23" s="20" t="s">
        <v>238</v>
      </c>
      <c r="E23" s="20" t="s">
        <v>239</v>
      </c>
      <c r="F23" s="20" t="s">
        <v>240</v>
      </c>
      <c r="H23" s="15" t="s">
        <v>6</v>
      </c>
      <c r="I23" s="43" t="s">
        <v>14</v>
      </c>
      <c r="J23" s="43">
        <v>13</v>
      </c>
      <c r="K23" s="29">
        <f t="shared" si="1"/>
        <v>11.528883981944785</v>
      </c>
      <c r="L23" s="29">
        <f t="shared" si="2"/>
        <v>8.9578221224041279</v>
      </c>
      <c r="M23" s="29">
        <f t="shared" si="3"/>
        <v>2.5710618595406571</v>
      </c>
      <c r="N23" s="29">
        <f>N21-L23</f>
        <v>112.03332420892087</v>
      </c>
    </row>
    <row r="24" spans="1:14" x14ac:dyDescent="0.25">
      <c r="A24" s="20" t="s">
        <v>2</v>
      </c>
      <c r="B24" s="20" t="s">
        <v>14</v>
      </c>
      <c r="C24" s="36">
        <v>215</v>
      </c>
      <c r="D24" s="20">
        <v>8.9600000000000009</v>
      </c>
      <c r="E24" s="36">
        <v>206.04</v>
      </c>
      <c r="F24" s="20">
        <v>4.57</v>
      </c>
      <c r="H24" s="15"/>
      <c r="I24" s="43" t="s">
        <v>15</v>
      </c>
      <c r="J24" s="43">
        <v>14</v>
      </c>
      <c r="K24" s="29">
        <f t="shared" si="1"/>
        <v>11.528883981944785</v>
      </c>
      <c r="L24" s="29">
        <f t="shared" si="2"/>
        <v>9.148175842505216</v>
      </c>
      <c r="M24" s="29">
        <f t="shared" si="3"/>
        <v>2.3807081394395686</v>
      </c>
      <c r="N24" s="29">
        <f t="shared" si="0"/>
        <v>102.88514836641566</v>
      </c>
    </row>
    <row r="25" spans="1:14" x14ac:dyDescent="0.25">
      <c r="A25" s="20"/>
      <c r="B25" s="20" t="s">
        <v>15</v>
      </c>
      <c r="C25" s="36">
        <v>206.04</v>
      </c>
      <c r="D25" s="20">
        <v>8.9600000000000009</v>
      </c>
      <c r="E25" s="36">
        <v>197.08</v>
      </c>
      <c r="F25" s="20">
        <v>4.38</v>
      </c>
      <c r="H25" s="15"/>
      <c r="I25" s="43" t="s">
        <v>16</v>
      </c>
      <c r="J25" s="43">
        <v>15</v>
      </c>
      <c r="K25" s="29">
        <f t="shared" si="1"/>
        <v>11.528883981944785</v>
      </c>
      <c r="L25" s="29">
        <f t="shared" si="2"/>
        <v>9.3425745791584518</v>
      </c>
      <c r="M25" s="29">
        <f t="shared" si="3"/>
        <v>2.1863094027863332</v>
      </c>
      <c r="N25" s="29">
        <f t="shared" si="0"/>
        <v>93.542573787257211</v>
      </c>
    </row>
    <row r="26" spans="1:14" x14ac:dyDescent="0.25">
      <c r="A26" s="20"/>
      <c r="B26" s="20" t="s">
        <v>16</v>
      </c>
      <c r="C26" s="36">
        <v>197.08</v>
      </c>
      <c r="D26" s="20">
        <v>8.9600000000000009</v>
      </c>
      <c r="E26" s="36">
        <v>188.13</v>
      </c>
      <c r="F26" s="20">
        <v>4.1900000000000004</v>
      </c>
      <c r="H26" s="15"/>
      <c r="I26" s="43" t="s">
        <v>17</v>
      </c>
      <c r="J26" s="43">
        <v>16</v>
      </c>
      <c r="K26" s="29">
        <f t="shared" si="1"/>
        <v>11.528883981944785</v>
      </c>
      <c r="L26" s="29">
        <f t="shared" si="2"/>
        <v>9.5411042889655686</v>
      </c>
      <c r="M26" s="29">
        <f t="shared" si="3"/>
        <v>1.987779692979216</v>
      </c>
      <c r="N26" s="29">
        <f t="shared" si="0"/>
        <v>84.001469498291641</v>
      </c>
    </row>
    <row r="27" spans="1:14" x14ac:dyDescent="0.25">
      <c r="A27" s="20"/>
      <c r="B27" s="20" t="s">
        <v>17</v>
      </c>
      <c r="C27" s="36">
        <v>188.13</v>
      </c>
      <c r="D27" s="20">
        <v>8.9600000000000009</v>
      </c>
      <c r="E27" s="36">
        <v>179.17</v>
      </c>
      <c r="F27" s="36">
        <v>4</v>
      </c>
      <c r="H27" s="53" t="s">
        <v>130</v>
      </c>
      <c r="I27" s="58"/>
      <c r="J27" s="58"/>
      <c r="K27" s="58">
        <f>SUM(K23:K26)</f>
        <v>46.115535927779142</v>
      </c>
      <c r="L27" s="58"/>
      <c r="M27" s="58">
        <f>SUM(M23:M26)</f>
        <v>9.1258590947457741</v>
      </c>
      <c r="N27" s="58"/>
    </row>
    <row r="28" spans="1:14" x14ac:dyDescent="0.25">
      <c r="A28" s="20"/>
      <c r="B28" s="20"/>
      <c r="C28" s="20"/>
      <c r="D28" s="37">
        <f>SUM(D24:D27)</f>
        <v>35.840000000000003</v>
      </c>
      <c r="E28" s="20"/>
      <c r="F28" s="38">
        <f>SUM(F24:F27)</f>
        <v>17.14</v>
      </c>
      <c r="H28" s="15" t="s">
        <v>7</v>
      </c>
      <c r="I28" s="43" t="s">
        <v>14</v>
      </c>
      <c r="J28" s="43">
        <v>17</v>
      </c>
      <c r="K28" s="29">
        <f t="shared" si="1"/>
        <v>11.528883981944785</v>
      </c>
      <c r="L28" s="29">
        <f t="shared" si="2"/>
        <v>9.7438527551060883</v>
      </c>
      <c r="M28" s="29">
        <f t="shared" si="3"/>
        <v>1.7850312268386979</v>
      </c>
      <c r="N28" s="29">
        <f>N26-L28</f>
        <v>74.257616743185551</v>
      </c>
    </row>
    <row r="29" spans="1:14" x14ac:dyDescent="0.25">
      <c r="A29" s="20"/>
      <c r="B29" s="20" t="s">
        <v>236</v>
      </c>
      <c r="C29" s="20" t="s">
        <v>237</v>
      </c>
      <c r="D29" s="20" t="s">
        <v>238</v>
      </c>
      <c r="E29" s="20" t="s">
        <v>239</v>
      </c>
      <c r="F29" s="20" t="s">
        <v>240</v>
      </c>
      <c r="H29" s="15"/>
      <c r="I29" s="43" t="s">
        <v>15</v>
      </c>
      <c r="J29" s="43">
        <v>18</v>
      </c>
      <c r="K29" s="29">
        <f t="shared" si="1"/>
        <v>11.528883981944785</v>
      </c>
      <c r="L29" s="29">
        <f t="shared" si="2"/>
        <v>9.9509096261520913</v>
      </c>
      <c r="M29" s="29">
        <f t="shared" si="3"/>
        <v>1.5779743557926933</v>
      </c>
      <c r="N29" s="29">
        <f t="shared" si="0"/>
        <v>64.306707117033454</v>
      </c>
    </row>
    <row r="30" spans="1:14" x14ac:dyDescent="0.25">
      <c r="A30" s="20" t="s">
        <v>3</v>
      </c>
      <c r="B30" s="20" t="s">
        <v>14</v>
      </c>
      <c r="C30" s="36">
        <v>179.17</v>
      </c>
      <c r="D30" s="20">
        <v>8.9600000000000009</v>
      </c>
      <c r="E30" s="36">
        <v>170.21</v>
      </c>
      <c r="F30" s="20">
        <v>3.81</v>
      </c>
      <c r="H30" s="15"/>
      <c r="I30" s="43" t="s">
        <v>16</v>
      </c>
      <c r="J30" s="43">
        <v>19</v>
      </c>
      <c r="K30" s="29">
        <f t="shared" si="1"/>
        <v>11.528883981944785</v>
      </c>
      <c r="L30" s="29">
        <f t="shared" si="2"/>
        <v>10.162366455707824</v>
      </c>
      <c r="M30" s="29">
        <f t="shared" si="3"/>
        <v>1.3665175262369615</v>
      </c>
      <c r="N30" s="29">
        <f t="shared" si="0"/>
        <v>54.144340661325629</v>
      </c>
    </row>
    <row r="31" spans="1:14" x14ac:dyDescent="0.25">
      <c r="A31" s="20"/>
      <c r="B31" s="20" t="s">
        <v>15</v>
      </c>
      <c r="C31" s="36">
        <v>170.21</v>
      </c>
      <c r="D31" s="20">
        <v>8.9600000000000009</v>
      </c>
      <c r="E31" s="36">
        <v>161.25</v>
      </c>
      <c r="F31" s="20">
        <v>3.62</v>
      </c>
      <c r="H31" s="15"/>
      <c r="I31" s="43" t="s">
        <v>17</v>
      </c>
      <c r="J31" s="43">
        <v>20</v>
      </c>
      <c r="K31" s="29">
        <f t="shared" si="1"/>
        <v>11.528883981944785</v>
      </c>
      <c r="L31" s="29">
        <f t="shared" si="2"/>
        <v>10.378316742891615</v>
      </c>
      <c r="M31" s="29">
        <f t="shared" si="3"/>
        <v>1.15056723905317</v>
      </c>
      <c r="N31" s="29">
        <f t="shared" si="0"/>
        <v>43.766023918434016</v>
      </c>
    </row>
    <row r="32" spans="1:14" x14ac:dyDescent="0.25">
      <c r="A32" s="20"/>
      <c r="B32" s="20" t="s">
        <v>16</v>
      </c>
      <c r="C32" s="36">
        <v>161.25</v>
      </c>
      <c r="D32" s="20">
        <v>8.9600000000000009</v>
      </c>
      <c r="E32" s="36">
        <v>152.29</v>
      </c>
      <c r="F32" s="20">
        <v>3.43</v>
      </c>
      <c r="H32" s="53" t="s">
        <v>130</v>
      </c>
      <c r="I32" s="58"/>
      <c r="J32" s="58"/>
      <c r="K32" s="58">
        <f>SUM(K28:K31)</f>
        <v>46.115535927779142</v>
      </c>
      <c r="L32" s="58"/>
      <c r="M32" s="58">
        <f>SUM(M28:M31)</f>
        <v>5.8800903479215227</v>
      </c>
      <c r="N32" s="58"/>
    </row>
    <row r="33" spans="1:15" x14ac:dyDescent="0.25">
      <c r="A33" s="20"/>
      <c r="B33" s="20" t="s">
        <v>17</v>
      </c>
      <c r="C33" s="36">
        <v>152.29</v>
      </c>
      <c r="D33" s="20">
        <v>8.9600000000000009</v>
      </c>
      <c r="E33" s="36">
        <v>143.33000000000001</v>
      </c>
      <c r="F33" s="20">
        <v>3.24</v>
      </c>
      <c r="H33" s="15" t="s">
        <v>535</v>
      </c>
      <c r="I33" s="43" t="s">
        <v>14</v>
      </c>
      <c r="J33" s="43">
        <v>21</v>
      </c>
      <c r="K33" s="29">
        <f t="shared" si="1"/>
        <v>11.528883981944785</v>
      </c>
      <c r="L33" s="29">
        <f t="shared" si="2"/>
        <v>10.598855973678061</v>
      </c>
      <c r="M33" s="29">
        <f t="shared" si="3"/>
        <v>0.93002800826672338</v>
      </c>
      <c r="N33" s="29">
        <f>N31-L33</f>
        <v>33.167167944755953</v>
      </c>
    </row>
    <row r="34" spans="1:15" x14ac:dyDescent="0.25">
      <c r="A34" s="20"/>
      <c r="B34" s="20"/>
      <c r="C34" s="20"/>
      <c r="D34" s="37">
        <f>SUM(D30:D33)</f>
        <v>35.840000000000003</v>
      </c>
      <c r="E34" s="20"/>
      <c r="F34" s="37">
        <f>SUM(F30:F33)</f>
        <v>14.1</v>
      </c>
      <c r="H34" s="15"/>
      <c r="I34" s="43" t="s">
        <v>15</v>
      </c>
      <c r="J34" s="43">
        <v>22</v>
      </c>
      <c r="K34" s="29">
        <f t="shared" si="1"/>
        <v>11.528883981944785</v>
      </c>
      <c r="L34" s="29">
        <f t="shared" si="2"/>
        <v>10.824081663118722</v>
      </c>
      <c r="M34" s="29">
        <f t="shared" si="3"/>
        <v>0.7048023188260647</v>
      </c>
      <c r="N34" s="29">
        <f t="shared" si="0"/>
        <v>22.34308628163723</v>
      </c>
    </row>
    <row r="35" spans="1:15" x14ac:dyDescent="0.25">
      <c r="A35" s="20"/>
      <c r="B35" s="20" t="s">
        <v>236</v>
      </c>
      <c r="C35" s="20" t="s">
        <v>237</v>
      </c>
      <c r="D35" s="20" t="s">
        <v>238</v>
      </c>
      <c r="E35" s="20" t="s">
        <v>239</v>
      </c>
      <c r="F35" s="20" t="s">
        <v>240</v>
      </c>
      <c r="H35" s="15"/>
      <c r="I35" s="43" t="s">
        <v>16</v>
      </c>
      <c r="J35" s="43">
        <v>23</v>
      </c>
      <c r="K35" s="29">
        <f t="shared" si="1"/>
        <v>11.528883981944785</v>
      </c>
      <c r="L35" s="29">
        <f t="shared" si="2"/>
        <v>11.054093398459992</v>
      </c>
      <c r="M35" s="29">
        <f t="shared" si="3"/>
        <v>0.47479058348479181</v>
      </c>
      <c r="N35" s="29">
        <f t="shared" si="0"/>
        <v>11.288992883177238</v>
      </c>
    </row>
    <row r="36" spans="1:15" x14ac:dyDescent="0.25">
      <c r="A36" s="20" t="s">
        <v>4</v>
      </c>
      <c r="B36" s="20" t="s">
        <v>14</v>
      </c>
      <c r="C36" s="36">
        <v>143.33000000000001</v>
      </c>
      <c r="D36" s="20">
        <v>8.9600000000000009</v>
      </c>
      <c r="E36" s="36">
        <v>134.38</v>
      </c>
      <c r="F36" s="20">
        <v>3.05</v>
      </c>
      <c r="H36" s="15"/>
      <c r="I36" s="43" t="s">
        <v>17</v>
      </c>
      <c r="J36" s="43">
        <v>24</v>
      </c>
      <c r="K36" s="29">
        <f t="shared" si="1"/>
        <v>11.528883981944785</v>
      </c>
      <c r="L36" s="29">
        <f t="shared" si="2"/>
        <v>11.288992883177269</v>
      </c>
      <c r="M36" s="29">
        <f t="shared" si="3"/>
        <v>0.23989109876751694</v>
      </c>
      <c r="N36" s="29">
        <f t="shared" si="0"/>
        <v>-3.0198066269804258E-14</v>
      </c>
    </row>
    <row r="37" spans="1:15" x14ac:dyDescent="0.25">
      <c r="A37" s="20"/>
      <c r="B37" s="20" t="s">
        <v>15</v>
      </c>
      <c r="C37" s="36">
        <v>134.38</v>
      </c>
      <c r="D37" s="20">
        <v>8.9600000000000009</v>
      </c>
      <c r="E37" s="36">
        <v>125.42</v>
      </c>
      <c r="F37" s="20">
        <v>2.86</v>
      </c>
      <c r="H37" s="53" t="s">
        <v>130</v>
      </c>
      <c r="I37" s="58"/>
      <c r="J37" s="58"/>
      <c r="K37" s="58">
        <f>SUM(K33:K36)</f>
        <v>46.115535927779142</v>
      </c>
      <c r="L37" s="58"/>
      <c r="M37" s="58">
        <f>SUM(M33:M36)</f>
        <v>2.3495120093450965</v>
      </c>
      <c r="N37" s="58"/>
    </row>
    <row r="38" spans="1:15" x14ac:dyDescent="0.25">
      <c r="A38" s="20"/>
      <c r="B38" s="20" t="s">
        <v>16</v>
      </c>
      <c r="C38" s="36">
        <v>125.42</v>
      </c>
      <c r="D38" s="20">
        <v>8.9600000000000009</v>
      </c>
      <c r="E38" s="36">
        <v>116.46</v>
      </c>
      <c r="F38" s="20">
        <v>2.67</v>
      </c>
    </row>
    <row r="39" spans="1:15" x14ac:dyDescent="0.25">
      <c r="A39" s="20"/>
      <c r="B39" s="20" t="s">
        <v>17</v>
      </c>
      <c r="C39" s="36">
        <v>116.46</v>
      </c>
      <c r="D39" s="20">
        <v>8.9600000000000009</v>
      </c>
      <c r="E39" s="36">
        <v>107.5</v>
      </c>
      <c r="F39" s="20">
        <v>2.4700000000000002</v>
      </c>
    </row>
    <row r="40" spans="1:15" x14ac:dyDescent="0.25">
      <c r="A40" s="20"/>
      <c r="B40" s="20"/>
      <c r="C40" s="20"/>
      <c r="D40" s="37">
        <f>SUM(D36:D39)</f>
        <v>35.840000000000003</v>
      </c>
      <c r="E40" s="20"/>
      <c r="F40" s="37">
        <f>SUM(F36:F39)</f>
        <v>11.05</v>
      </c>
      <c r="H40" s="6"/>
      <c r="N40" s="6"/>
    </row>
    <row r="41" spans="1:15" x14ac:dyDescent="0.25">
      <c r="A41" s="20"/>
      <c r="B41" s="20"/>
      <c r="C41" s="20"/>
      <c r="D41" s="20"/>
      <c r="E41" s="20"/>
      <c r="F41" s="20"/>
    </row>
    <row r="42" spans="1:15" x14ac:dyDescent="0.25">
      <c r="A42" s="20"/>
      <c r="B42" s="20" t="s">
        <v>236</v>
      </c>
      <c r="C42" s="20" t="s">
        <v>237</v>
      </c>
      <c r="D42" s="20" t="s">
        <v>238</v>
      </c>
      <c r="E42" s="20" t="s">
        <v>239</v>
      </c>
      <c r="F42" s="20" t="s">
        <v>240</v>
      </c>
      <c r="M42" s="6"/>
      <c r="O42" s="6"/>
    </row>
    <row r="43" spans="1:15" x14ac:dyDescent="0.25">
      <c r="A43" s="20" t="s">
        <v>5</v>
      </c>
      <c r="B43" s="20" t="s">
        <v>14</v>
      </c>
      <c r="C43" s="36">
        <v>107.5</v>
      </c>
      <c r="D43" s="20">
        <v>8.9600000000000009</v>
      </c>
      <c r="E43" s="36">
        <v>98.54</v>
      </c>
      <c r="F43" s="20">
        <v>2.2799999999999998</v>
      </c>
    </row>
    <row r="44" spans="1:15" x14ac:dyDescent="0.25">
      <c r="A44" s="20"/>
      <c r="B44" s="20" t="s">
        <v>15</v>
      </c>
      <c r="C44" s="36">
        <v>98.54</v>
      </c>
      <c r="D44" s="20">
        <v>8.9600000000000009</v>
      </c>
      <c r="E44" s="36">
        <v>89.58</v>
      </c>
      <c r="F44" s="20">
        <v>2.09</v>
      </c>
    </row>
    <row r="45" spans="1:15" x14ac:dyDescent="0.25">
      <c r="A45" s="20"/>
      <c r="B45" s="20" t="s">
        <v>16</v>
      </c>
      <c r="C45" s="36">
        <v>89.58</v>
      </c>
      <c r="D45" s="20">
        <v>8.9600000000000009</v>
      </c>
      <c r="E45" s="36">
        <v>80.62</v>
      </c>
      <c r="F45" s="36">
        <v>1.9</v>
      </c>
    </row>
    <row r="46" spans="1:15" x14ac:dyDescent="0.25">
      <c r="A46" s="20"/>
      <c r="B46" s="20" t="s">
        <v>17</v>
      </c>
      <c r="C46" s="36">
        <v>80.62</v>
      </c>
      <c r="D46" s="20">
        <v>8.9600000000000009</v>
      </c>
      <c r="E46" s="36">
        <v>71.67</v>
      </c>
      <c r="F46" s="20">
        <v>1.71</v>
      </c>
    </row>
    <row r="47" spans="1:15" x14ac:dyDescent="0.25">
      <c r="A47" s="20"/>
      <c r="B47" s="20"/>
      <c r="C47" s="20"/>
      <c r="D47" s="37">
        <f>SUM(D43:D46)</f>
        <v>35.840000000000003</v>
      </c>
      <c r="E47" s="20"/>
      <c r="F47" s="37">
        <f>SUM(F43:F46)</f>
        <v>7.9799999999999995</v>
      </c>
    </row>
    <row r="48" spans="1:15" x14ac:dyDescent="0.25">
      <c r="A48" s="20"/>
      <c r="B48" s="20"/>
      <c r="C48" s="20"/>
      <c r="D48" s="20"/>
      <c r="E48" s="20"/>
      <c r="F48" s="20"/>
    </row>
    <row r="49" spans="1:6" x14ac:dyDescent="0.25">
      <c r="A49" s="20"/>
      <c r="B49" s="20" t="s">
        <v>236</v>
      </c>
      <c r="C49" s="20" t="s">
        <v>237</v>
      </c>
      <c r="D49" s="20" t="s">
        <v>238</v>
      </c>
      <c r="E49" s="20" t="s">
        <v>239</v>
      </c>
      <c r="F49" s="20" t="s">
        <v>240</v>
      </c>
    </row>
    <row r="50" spans="1:6" x14ac:dyDescent="0.25">
      <c r="A50" s="20" t="s">
        <v>6</v>
      </c>
      <c r="B50" s="20" t="s">
        <v>14</v>
      </c>
      <c r="C50" s="36">
        <v>71.67</v>
      </c>
      <c r="D50" s="20">
        <v>8.9600000000000009</v>
      </c>
      <c r="E50" s="36">
        <v>62.71</v>
      </c>
      <c r="F50" s="20">
        <v>1.52</v>
      </c>
    </row>
    <row r="51" spans="1:6" x14ac:dyDescent="0.25">
      <c r="A51" s="20"/>
      <c r="B51" s="20" t="s">
        <v>15</v>
      </c>
      <c r="C51" s="36">
        <v>62.71</v>
      </c>
      <c r="D51" s="20">
        <v>8.9600000000000009</v>
      </c>
      <c r="E51" s="36">
        <v>53.75</v>
      </c>
      <c r="F51" s="20">
        <v>1.33</v>
      </c>
    </row>
    <row r="52" spans="1:6" x14ac:dyDescent="0.25">
      <c r="A52" s="20"/>
      <c r="B52" s="20" t="s">
        <v>16</v>
      </c>
      <c r="C52" s="36">
        <v>53.75</v>
      </c>
      <c r="D52" s="20">
        <v>8.9600000000000009</v>
      </c>
      <c r="E52" s="36">
        <v>44.79</v>
      </c>
      <c r="F52" s="20">
        <v>1.1399999999999999</v>
      </c>
    </row>
    <row r="53" spans="1:6" x14ac:dyDescent="0.25">
      <c r="A53" s="20"/>
      <c r="B53" s="20" t="s">
        <v>17</v>
      </c>
      <c r="C53" s="36">
        <v>44.79</v>
      </c>
      <c r="D53" s="20">
        <v>8.9600000000000009</v>
      </c>
      <c r="E53" s="36">
        <v>35.83</v>
      </c>
      <c r="F53" s="20">
        <v>0.95</v>
      </c>
    </row>
    <row r="54" spans="1:6" x14ac:dyDescent="0.25">
      <c r="A54" s="20"/>
      <c r="B54" s="20"/>
      <c r="C54" s="20"/>
      <c r="D54" s="37">
        <f>SUM(D50:D53)</f>
        <v>35.840000000000003</v>
      </c>
      <c r="E54" s="20"/>
      <c r="F54" s="37">
        <f>SUM(F50:F53)</f>
        <v>4.9400000000000004</v>
      </c>
    </row>
    <row r="55" spans="1:6" x14ac:dyDescent="0.25">
      <c r="A55" s="20"/>
      <c r="B55" s="20"/>
      <c r="C55" s="20"/>
      <c r="D55" s="20"/>
      <c r="E55" s="20"/>
      <c r="F55" s="20"/>
    </row>
    <row r="56" spans="1:6" x14ac:dyDescent="0.25">
      <c r="A56" s="20"/>
      <c r="B56" s="20" t="s">
        <v>236</v>
      </c>
      <c r="C56" s="20" t="s">
        <v>237</v>
      </c>
      <c r="D56" s="20" t="s">
        <v>238</v>
      </c>
      <c r="E56" s="20" t="s">
        <v>239</v>
      </c>
      <c r="F56" s="20" t="s">
        <v>240</v>
      </c>
    </row>
    <row r="57" spans="1:6" x14ac:dyDescent="0.25">
      <c r="A57" s="20" t="s">
        <v>7</v>
      </c>
      <c r="B57" s="20" t="s">
        <v>14</v>
      </c>
      <c r="C57" s="36">
        <v>35.83</v>
      </c>
      <c r="D57" s="20">
        <v>8.9600000000000009</v>
      </c>
      <c r="E57" s="36">
        <v>26.87</v>
      </c>
      <c r="F57" s="20">
        <v>0.76</v>
      </c>
    </row>
    <row r="58" spans="1:6" x14ac:dyDescent="0.25">
      <c r="A58" s="20"/>
      <c r="B58" s="20" t="s">
        <v>15</v>
      </c>
      <c r="C58" s="36">
        <v>26.87</v>
      </c>
      <c r="D58" s="20">
        <v>8.9600000000000009</v>
      </c>
      <c r="E58" s="36">
        <v>17.920000000000002</v>
      </c>
      <c r="F58" s="20">
        <v>0.56999999999999995</v>
      </c>
    </row>
    <row r="59" spans="1:6" x14ac:dyDescent="0.25">
      <c r="A59" s="20"/>
      <c r="B59" s="20" t="s">
        <v>16</v>
      </c>
      <c r="C59" s="36">
        <v>17.920000000000002</v>
      </c>
      <c r="D59" s="20">
        <v>8.9600000000000009</v>
      </c>
      <c r="E59" s="36">
        <v>8.9600000000000009</v>
      </c>
      <c r="F59" s="20">
        <v>0.38</v>
      </c>
    </row>
    <row r="60" spans="1:6" x14ac:dyDescent="0.25">
      <c r="A60" s="20"/>
      <c r="B60" s="20" t="s">
        <v>17</v>
      </c>
      <c r="C60" s="36">
        <v>8.9600000000000009</v>
      </c>
      <c r="D60" s="20">
        <v>8.9600000000000009</v>
      </c>
      <c r="E60" s="36">
        <v>0</v>
      </c>
      <c r="F60" s="20">
        <v>0.19</v>
      </c>
    </row>
    <row r="61" spans="1:6" x14ac:dyDescent="0.25">
      <c r="A61" s="20"/>
      <c r="B61" s="20"/>
      <c r="C61" s="20"/>
      <c r="D61" s="37">
        <f>SUM(D57:D60)</f>
        <v>35.840000000000003</v>
      </c>
      <c r="E61" s="20"/>
      <c r="F61" s="37">
        <f>SUM(F57:F60)</f>
        <v>1.9</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opLeftCell="A7" workbookViewId="0">
      <selection activeCell="D20" sqref="D20"/>
    </sheetView>
  </sheetViews>
  <sheetFormatPr defaultRowHeight="15" x14ac:dyDescent="0.25"/>
  <cols>
    <col min="1" max="1" width="23" customWidth="1"/>
    <col min="2" max="2" width="10.5703125" customWidth="1"/>
    <col min="3" max="3" width="22" bestFit="1" customWidth="1"/>
    <col min="4" max="4" width="12.42578125" bestFit="1" customWidth="1"/>
  </cols>
  <sheetData>
    <row r="1" spans="1:10" ht="18.75" x14ac:dyDescent="0.3">
      <c r="A1" s="81" t="s">
        <v>247</v>
      </c>
      <c r="B1" s="81"/>
      <c r="C1" s="81"/>
      <c r="D1" s="81"/>
      <c r="E1" s="81"/>
      <c r="F1" s="81"/>
      <c r="G1" s="81"/>
      <c r="H1" s="81"/>
      <c r="I1" s="81"/>
      <c r="J1" s="81"/>
    </row>
    <row r="3" spans="1:10" x14ac:dyDescent="0.25">
      <c r="A3" s="3" t="s">
        <v>248</v>
      </c>
    </row>
    <row r="5" spans="1:10" x14ac:dyDescent="0.25">
      <c r="A5" s="2" t="s">
        <v>50</v>
      </c>
      <c r="B5" s="52" t="s">
        <v>142</v>
      </c>
      <c r="C5" s="52" t="s">
        <v>249</v>
      </c>
      <c r="D5" s="52" t="s">
        <v>130</v>
      </c>
    </row>
    <row r="7" spans="1:10" x14ac:dyDescent="0.25">
      <c r="A7" s="10" t="s">
        <v>143</v>
      </c>
      <c r="B7" s="43">
        <v>13.64</v>
      </c>
      <c r="C7" s="29">
        <v>0</v>
      </c>
      <c r="D7" s="43">
        <f>B7+C7</f>
        <v>13.64</v>
      </c>
    </row>
    <row r="8" spans="1:10" x14ac:dyDescent="0.25">
      <c r="A8" s="10" t="s">
        <v>250</v>
      </c>
      <c r="B8" s="29">
        <v>63</v>
      </c>
      <c r="C8" s="43">
        <v>1.26</v>
      </c>
      <c r="D8" s="43">
        <f>B8+C8</f>
        <v>64.260000000000005</v>
      </c>
    </row>
    <row r="9" spans="1:10" x14ac:dyDescent="0.25">
      <c r="A9" s="10" t="s">
        <v>251</v>
      </c>
      <c r="B9" s="43">
        <v>253.73</v>
      </c>
      <c r="C9" s="43">
        <v>5.07</v>
      </c>
      <c r="D9" s="43">
        <f>B9+C9</f>
        <v>258.8</v>
      </c>
    </row>
    <row r="10" spans="1:10" x14ac:dyDescent="0.25">
      <c r="A10" s="10" t="s">
        <v>63</v>
      </c>
      <c r="B10" s="29">
        <v>2.2000000000000002</v>
      </c>
      <c r="C10" s="29">
        <v>0</v>
      </c>
      <c r="D10" s="29">
        <f>B10+C10</f>
        <v>2.2000000000000002</v>
      </c>
    </row>
    <row r="11" spans="1:10" x14ac:dyDescent="0.25">
      <c r="A11" s="53" t="s">
        <v>130</v>
      </c>
      <c r="B11" s="58">
        <f>SUM(B7:B10)</f>
        <v>332.57</v>
      </c>
      <c r="C11" s="58">
        <f>SUM(C7:C10)</f>
        <v>6.33</v>
      </c>
      <c r="D11" s="58">
        <f>SUM(D7:D10)</f>
        <v>338.90000000000003</v>
      </c>
    </row>
    <row r="13" spans="1:10" x14ac:dyDescent="0.25">
      <c r="A13" s="3" t="s">
        <v>252</v>
      </c>
    </row>
    <row r="15" spans="1:10" x14ac:dyDescent="0.25">
      <c r="A15" s="2" t="s">
        <v>253</v>
      </c>
      <c r="B15" s="52" t="s">
        <v>53</v>
      </c>
      <c r="C15" s="52" t="s">
        <v>254</v>
      </c>
      <c r="D15" s="52" t="s">
        <v>30</v>
      </c>
    </row>
    <row r="16" spans="1:10" x14ac:dyDescent="0.25">
      <c r="A16" s="10" t="s">
        <v>143</v>
      </c>
      <c r="B16" s="43">
        <f>D7</f>
        <v>13.64</v>
      </c>
      <c r="C16" s="48">
        <v>0</v>
      </c>
      <c r="D16" s="29">
        <v>0</v>
      </c>
    </row>
    <row r="17" spans="1:10" x14ac:dyDescent="0.25">
      <c r="A17" s="10" t="s">
        <v>250</v>
      </c>
      <c r="B17" s="43">
        <f>D8</f>
        <v>64.260000000000005</v>
      </c>
      <c r="C17" s="48">
        <v>3.3399999999999999E-2</v>
      </c>
      <c r="D17" s="29">
        <f>B17*C17</f>
        <v>2.1462840000000001</v>
      </c>
    </row>
    <row r="18" spans="1:10" x14ac:dyDescent="0.25">
      <c r="A18" s="10" t="s">
        <v>251</v>
      </c>
      <c r="B18" s="43">
        <f>D9</f>
        <v>258.8</v>
      </c>
      <c r="C18" s="48">
        <v>0.1391</v>
      </c>
      <c r="D18" s="29">
        <f t="shared" ref="D18:D19" si="0">B18*C18</f>
        <v>35.999079999999999</v>
      </c>
    </row>
    <row r="19" spans="1:10" x14ac:dyDescent="0.25">
      <c r="A19" s="10" t="s">
        <v>63</v>
      </c>
      <c r="B19" s="29">
        <f>D10</f>
        <v>2.2000000000000002</v>
      </c>
      <c r="C19" s="48">
        <v>0.1391</v>
      </c>
      <c r="D19" s="29">
        <f t="shared" si="0"/>
        <v>0.30602000000000001</v>
      </c>
    </row>
    <row r="20" spans="1:10" x14ac:dyDescent="0.25">
      <c r="A20" s="53" t="s">
        <v>130</v>
      </c>
      <c r="B20" s="58">
        <f>SUM(B16:B19)</f>
        <v>338.90000000000003</v>
      </c>
      <c r="C20" s="58"/>
      <c r="D20" s="58">
        <f>SUM(D16:D19)</f>
        <v>38.451383999999997</v>
      </c>
    </row>
    <row r="22" spans="1:10" x14ac:dyDescent="0.25">
      <c r="A22" s="3" t="s">
        <v>255</v>
      </c>
    </row>
    <row r="24" spans="1:10" x14ac:dyDescent="0.25">
      <c r="A24" s="2" t="s">
        <v>253</v>
      </c>
      <c r="B24" s="52" t="s">
        <v>53</v>
      </c>
      <c r="C24" s="52" t="s">
        <v>254</v>
      </c>
      <c r="D24" s="52" t="s">
        <v>2</v>
      </c>
      <c r="E24" s="52" t="s">
        <v>3</v>
      </c>
      <c r="F24" s="52" t="s">
        <v>4</v>
      </c>
      <c r="G24" s="52" t="s">
        <v>5</v>
      </c>
      <c r="H24" s="52" t="s">
        <v>6</v>
      </c>
      <c r="I24" s="52" t="s">
        <v>7</v>
      </c>
      <c r="J24" s="52" t="s">
        <v>535</v>
      </c>
    </row>
    <row r="25" spans="1:10" x14ac:dyDescent="0.25">
      <c r="A25" s="10" t="s">
        <v>143</v>
      </c>
      <c r="B25" s="43">
        <f>D7</f>
        <v>13.64</v>
      </c>
      <c r="C25" s="48">
        <v>0</v>
      </c>
      <c r="D25" s="29">
        <v>0</v>
      </c>
      <c r="E25" s="29">
        <v>0</v>
      </c>
      <c r="F25" s="29">
        <v>0</v>
      </c>
      <c r="G25" s="29">
        <v>0</v>
      </c>
      <c r="H25" s="29">
        <v>0</v>
      </c>
      <c r="I25" s="29">
        <v>0</v>
      </c>
      <c r="J25" s="29">
        <v>0</v>
      </c>
    </row>
    <row r="26" spans="1:10" x14ac:dyDescent="0.25">
      <c r="A26" s="10" t="s">
        <v>250</v>
      </c>
      <c r="B26" s="43">
        <f>D8</f>
        <v>64.260000000000005</v>
      </c>
      <c r="C26" s="48">
        <v>0.1</v>
      </c>
      <c r="D26" s="29">
        <f>(B26*C26)/2</f>
        <v>3.2130000000000005</v>
      </c>
      <c r="E26" s="29">
        <f>($B$26-D26)*$C$26</f>
        <v>6.1047000000000011</v>
      </c>
      <c r="F26" s="29">
        <f>($B$26-D26-E26)*$C$26</f>
        <v>5.4942300000000008</v>
      </c>
      <c r="G26" s="29">
        <f>($B$26-E26-F26-D26)*$C$26</f>
        <v>4.9448070000000008</v>
      </c>
      <c r="H26" s="29">
        <f>($B$26-F26-G26-E26-D26)*$C$26</f>
        <v>4.4503263000000004</v>
      </c>
      <c r="I26" s="29">
        <f>($B$26-G26-H26-F26-E26-D26)*$C$26</f>
        <v>4.0052936700000004</v>
      </c>
      <c r="J26" s="29">
        <f>($B$26-H26-I26-G26-F26-E26-D26)*$C$26</f>
        <v>3.6047643030000005</v>
      </c>
    </row>
    <row r="27" spans="1:10" x14ac:dyDescent="0.25">
      <c r="A27" s="10" t="s">
        <v>251</v>
      </c>
      <c r="B27" s="43">
        <f>D9</f>
        <v>258.8</v>
      </c>
      <c r="C27" s="48">
        <v>0.15</v>
      </c>
      <c r="D27" s="29">
        <f>(B27*C27)/2</f>
        <v>19.41</v>
      </c>
      <c r="E27" s="29">
        <f>($B$27-D27)*$C$27</f>
        <v>35.908500000000004</v>
      </c>
      <c r="F27" s="29">
        <f>($B$27-E27-D27)*$C$27</f>
        <v>30.522224999999999</v>
      </c>
      <c r="G27" s="29">
        <f>($B$27-F27-E27-D27)*$C$27</f>
        <v>25.943891250000004</v>
      </c>
      <c r="H27" s="29">
        <f>($B$27-G27-F27-E27-D27)*$C$27</f>
        <v>22.052307562500001</v>
      </c>
      <c r="I27" s="29">
        <f>($B$27-H27-G27-F27-E27-D27)*$C$27</f>
        <v>18.744461428125</v>
      </c>
      <c r="J27" s="29">
        <f>($B$27-I27-H27-G27-F27-E27-D27)*$C$27</f>
        <v>15.932792213906252</v>
      </c>
    </row>
    <row r="28" spans="1:10" x14ac:dyDescent="0.25">
      <c r="A28" s="10" t="s">
        <v>63</v>
      </c>
      <c r="B28" s="29">
        <f>D10</f>
        <v>2.2000000000000002</v>
      </c>
      <c r="C28" s="48">
        <v>0.15</v>
      </c>
      <c r="D28" s="29">
        <f>(B28*C28)/2</f>
        <v>0.16500000000000001</v>
      </c>
      <c r="E28" s="29">
        <f>($B$28-D28)*$C$28</f>
        <v>0.30525000000000002</v>
      </c>
      <c r="F28" s="29">
        <f>($B$28-E28-D28)*$C$28</f>
        <v>0.25946249999999998</v>
      </c>
      <c r="G28" s="29">
        <f>($B$28-F28-E28-D28)*$C$28</f>
        <v>0.22054312500000003</v>
      </c>
      <c r="H28" s="29">
        <f>($B$28-G28-F28-E28-D28)*$C$28</f>
        <v>0.18746165625000002</v>
      </c>
      <c r="I28" s="29">
        <f>($B$28-H28-G28-F28-E28-D28)*$C$28</f>
        <v>0.1593424078125</v>
      </c>
      <c r="J28" s="29">
        <f>($B$28-I28-H28-G28-F28-E28-D28)*$C$28</f>
        <v>0.13544104664062503</v>
      </c>
    </row>
    <row r="29" spans="1:10" x14ac:dyDescent="0.25">
      <c r="A29" s="53" t="s">
        <v>130</v>
      </c>
      <c r="B29" s="58">
        <f t="shared" ref="B29:J29" si="1">SUM(B25:B28)</f>
        <v>338.90000000000003</v>
      </c>
      <c r="C29" s="58"/>
      <c r="D29" s="58">
        <f>SUM(D25:D28)*10/12</f>
        <v>18.989999999999998</v>
      </c>
      <c r="E29" s="53">
        <f t="shared" si="1"/>
        <v>42.318450000000006</v>
      </c>
      <c r="F29" s="58">
        <f t="shared" si="1"/>
        <v>36.275917499999998</v>
      </c>
      <c r="G29" s="58">
        <f t="shared" si="1"/>
        <v>31.109241375000003</v>
      </c>
      <c r="H29" s="58">
        <f t="shared" si="1"/>
        <v>26.690095518750002</v>
      </c>
      <c r="I29" s="53">
        <f t="shared" si="1"/>
        <v>22.909097505937499</v>
      </c>
      <c r="J29" s="58">
        <f t="shared" si="1"/>
        <v>19.672997563546879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39"/>
  <sheetViews>
    <sheetView topLeftCell="C1" workbookViewId="0">
      <selection activeCell="D5" sqref="D5"/>
    </sheetView>
  </sheetViews>
  <sheetFormatPr defaultRowHeight="15" x14ac:dyDescent="0.25"/>
  <cols>
    <col min="2" max="2" width="34.28515625" customWidth="1"/>
    <col min="3" max="6" width="14.7109375" bestFit="1" customWidth="1"/>
    <col min="9" max="9" width="36.42578125" bestFit="1" customWidth="1"/>
    <col min="10" max="10" width="12.5703125" bestFit="1" customWidth="1"/>
    <col min="11" max="11" width="14.7109375" bestFit="1" customWidth="1"/>
    <col min="12" max="13" width="12.85546875" bestFit="1" customWidth="1"/>
    <col min="16" max="16" width="9.5703125" bestFit="1" customWidth="1"/>
  </cols>
  <sheetData>
    <row r="1" spans="2:16" ht="18.75" x14ac:dyDescent="0.3">
      <c r="B1" s="81" t="s">
        <v>351</v>
      </c>
      <c r="C1" s="81"/>
      <c r="D1" s="81"/>
      <c r="E1" s="81"/>
      <c r="F1" s="81"/>
      <c r="I1" s="81" t="s">
        <v>351</v>
      </c>
      <c r="J1" s="81"/>
      <c r="K1" s="81"/>
      <c r="L1" s="81"/>
      <c r="M1" s="81"/>
    </row>
    <row r="3" spans="2:16" x14ac:dyDescent="0.25">
      <c r="B3" s="21" t="s">
        <v>8</v>
      </c>
      <c r="C3" s="21" t="s">
        <v>352</v>
      </c>
      <c r="D3" s="21" t="s">
        <v>353</v>
      </c>
      <c r="E3" s="21" t="s">
        <v>354</v>
      </c>
      <c r="F3" s="21" t="s">
        <v>355</v>
      </c>
      <c r="I3" s="21" t="s">
        <v>327</v>
      </c>
      <c r="J3" s="22">
        <v>2019</v>
      </c>
      <c r="K3" s="22">
        <f>J3+1</f>
        <v>2020</v>
      </c>
      <c r="L3" s="22">
        <f>K3+1</f>
        <v>2021</v>
      </c>
      <c r="M3" s="22">
        <f>L3+1</f>
        <v>2022</v>
      </c>
    </row>
    <row r="4" spans="2:16" x14ac:dyDescent="0.25">
      <c r="B4" s="82" t="s">
        <v>356</v>
      </c>
      <c r="C4" s="10"/>
      <c r="D4" s="10"/>
      <c r="E4" s="10"/>
      <c r="F4" s="10"/>
      <c r="I4" s="15" t="s">
        <v>8</v>
      </c>
      <c r="J4" s="10"/>
      <c r="K4" s="10"/>
      <c r="L4" s="10"/>
      <c r="M4" s="10"/>
    </row>
    <row r="5" spans="2:16" x14ac:dyDescent="0.25">
      <c r="B5" s="10" t="s">
        <v>358</v>
      </c>
      <c r="C5" s="10">
        <v>7362419.21</v>
      </c>
      <c r="D5" s="10">
        <v>8718649.0600000005</v>
      </c>
      <c r="E5" s="12">
        <v>11843192</v>
      </c>
      <c r="F5" s="12">
        <v>14406331</v>
      </c>
      <c r="I5" s="10" t="s">
        <v>357</v>
      </c>
      <c r="J5" s="12">
        <f>7655369.21/100000</f>
        <v>76.553692100000006</v>
      </c>
      <c r="K5" s="12">
        <f>(D5+D10+D13)/100000</f>
        <v>95.908750600000005</v>
      </c>
      <c r="L5" s="12">
        <f>12507874/100000</f>
        <v>125.07874</v>
      </c>
      <c r="M5" s="12">
        <f>15904341/100000</f>
        <v>159.04340999999999</v>
      </c>
    </row>
    <row r="6" spans="2:16" x14ac:dyDescent="0.25">
      <c r="B6" s="10" t="s">
        <v>360</v>
      </c>
      <c r="C6" s="10">
        <v>223100</v>
      </c>
      <c r="D6" s="12">
        <v>0</v>
      </c>
      <c r="E6" s="12"/>
      <c r="F6" s="12"/>
      <c r="I6" s="10" t="s">
        <v>359</v>
      </c>
      <c r="J6" s="6">
        <v>0</v>
      </c>
      <c r="K6" s="12">
        <f>550/100000</f>
        <v>5.4999999999999997E-3</v>
      </c>
      <c r="L6" s="6">
        <v>0</v>
      </c>
      <c r="M6" s="6">
        <v>0</v>
      </c>
    </row>
    <row r="7" spans="2:16" x14ac:dyDescent="0.25">
      <c r="B7" s="10" t="s">
        <v>12</v>
      </c>
      <c r="C7" s="10"/>
      <c r="D7" s="10"/>
      <c r="E7" s="12">
        <v>16244</v>
      </c>
      <c r="F7" s="12">
        <v>85524</v>
      </c>
      <c r="I7" s="23" t="s">
        <v>361</v>
      </c>
      <c r="J7" s="24">
        <f>SUM(J5:J6)</f>
        <v>76.553692100000006</v>
      </c>
      <c r="K7" s="24">
        <f>SUM(K5:K6)</f>
        <v>95.914250600000003</v>
      </c>
      <c r="L7" s="24">
        <f>SUM(L5:L6)</f>
        <v>125.07874</v>
      </c>
      <c r="M7" s="24">
        <f>SUM(M5:M6)</f>
        <v>159.04340999999999</v>
      </c>
    </row>
    <row r="8" spans="2:16" x14ac:dyDescent="0.25">
      <c r="B8" s="10" t="s">
        <v>363</v>
      </c>
      <c r="C8" s="10"/>
      <c r="D8" s="10"/>
      <c r="E8" s="12">
        <v>362255</v>
      </c>
      <c r="F8" s="12">
        <v>817360</v>
      </c>
      <c r="I8" s="15" t="s">
        <v>362</v>
      </c>
      <c r="J8" s="10"/>
      <c r="K8" s="10"/>
      <c r="L8" s="10"/>
      <c r="M8" s="10"/>
    </row>
    <row r="9" spans="2:16" x14ac:dyDescent="0.25">
      <c r="B9" s="10" t="s">
        <v>365</v>
      </c>
      <c r="C9" s="10"/>
      <c r="D9" s="10"/>
      <c r="E9" s="12">
        <v>286183</v>
      </c>
      <c r="F9" s="12">
        <v>595126</v>
      </c>
      <c r="I9" s="10" t="s">
        <v>364</v>
      </c>
      <c r="J9" s="12">
        <f>(C16+C17+C18)/100000</f>
        <v>32.2566627</v>
      </c>
      <c r="K9" s="12">
        <f>(D16+D17+D18)/100000</f>
        <v>50.079771299999997</v>
      </c>
      <c r="L9" s="12">
        <f>(E16+E17+E18)/100000</f>
        <v>51.76343</v>
      </c>
      <c r="M9" s="12">
        <f>(F16+F17+F18)/100000</f>
        <v>71.425880000000006</v>
      </c>
    </row>
    <row r="10" spans="2:16" x14ac:dyDescent="0.25">
      <c r="B10" s="10" t="s">
        <v>367</v>
      </c>
      <c r="C10" s="12">
        <v>67150</v>
      </c>
      <c r="D10" s="12">
        <v>22803</v>
      </c>
      <c r="E10" s="10"/>
      <c r="F10" s="10"/>
      <c r="I10" s="10" t="s">
        <v>366</v>
      </c>
      <c r="J10" s="70">
        <v>0</v>
      </c>
      <c r="K10" s="70">
        <v>0</v>
      </c>
      <c r="L10" s="70">
        <v>6.2813299999999996</v>
      </c>
      <c r="M10" s="70">
        <v>8.0601400000000005</v>
      </c>
      <c r="P10" s="70"/>
    </row>
    <row r="11" spans="2:16" x14ac:dyDescent="0.25">
      <c r="B11" s="10" t="s">
        <v>369</v>
      </c>
      <c r="C11" s="12">
        <v>0</v>
      </c>
      <c r="D11" s="12">
        <v>550</v>
      </c>
      <c r="E11" s="10"/>
      <c r="F11" s="10"/>
      <c r="I11" s="10" t="s">
        <v>368</v>
      </c>
      <c r="J11" s="70">
        <f>(SUM(C20,C22:C30))/100000</f>
        <v>40.445376300000007</v>
      </c>
      <c r="K11" s="70">
        <f>(SUM(D20,D22:D30))/100000</f>
        <v>40.418614900000001</v>
      </c>
      <c r="L11" s="70">
        <f>(SUM(E20,E22:E30))/100000</f>
        <v>53.26144</v>
      </c>
      <c r="M11" s="70">
        <f>(SUM(F20,F22:F30))/100000</f>
        <v>61.850079999999998</v>
      </c>
    </row>
    <row r="12" spans="2:16" x14ac:dyDescent="0.25">
      <c r="B12" s="10" t="s">
        <v>371</v>
      </c>
      <c r="C12" s="12">
        <v>2700</v>
      </c>
      <c r="D12" s="10"/>
      <c r="E12" s="10"/>
      <c r="F12" s="10"/>
      <c r="I12" s="25" t="s">
        <v>370</v>
      </c>
      <c r="J12" s="26">
        <f>SUM(J9:J11)</f>
        <v>72.702039000000013</v>
      </c>
      <c r="K12" s="26">
        <f>SUM(K9:K11)</f>
        <v>90.498386199999999</v>
      </c>
      <c r="L12" s="26">
        <f>SUM(L9:L11)</f>
        <v>111.30619999999999</v>
      </c>
      <c r="M12" s="26">
        <f>SUM(M9:M11)</f>
        <v>141.33610000000002</v>
      </c>
    </row>
    <row r="13" spans="2:16" x14ac:dyDescent="0.25">
      <c r="B13" s="10" t="s">
        <v>372</v>
      </c>
      <c r="C13" s="10"/>
      <c r="D13" s="12">
        <v>849423</v>
      </c>
      <c r="E13" s="10"/>
      <c r="F13" s="10"/>
      <c r="I13" s="23" t="s">
        <v>321</v>
      </c>
      <c r="J13" s="24">
        <f t="shared" ref="J13:M13" si="0">J7-J12</f>
        <v>3.8516530999999929</v>
      </c>
      <c r="K13" s="24">
        <f t="shared" si="0"/>
        <v>5.4158644000000038</v>
      </c>
      <c r="L13" s="27">
        <f t="shared" si="0"/>
        <v>13.772540000000006</v>
      </c>
      <c r="M13" s="27">
        <f t="shared" si="0"/>
        <v>17.707309999999978</v>
      </c>
    </row>
    <row r="14" spans="2:16" x14ac:dyDescent="0.25">
      <c r="B14" s="23" t="s">
        <v>374</v>
      </c>
      <c r="C14" s="24">
        <f>SUM(C5:C13)</f>
        <v>7655369.21</v>
      </c>
      <c r="D14" s="24">
        <f>SUM(D5:D13)</f>
        <v>9591425.0600000005</v>
      </c>
      <c r="E14" s="24">
        <f t="shared" ref="E14:F14" si="1">SUM(E5:E13)</f>
        <v>12507874</v>
      </c>
      <c r="F14" s="24">
        <f t="shared" si="1"/>
        <v>15904341</v>
      </c>
      <c r="I14" s="10" t="s">
        <v>373</v>
      </c>
      <c r="J14" s="70">
        <f>(C21)/100000</f>
        <v>0.92717000000000005</v>
      </c>
      <c r="K14" s="70">
        <f>(D21)/100000</f>
        <v>3.78261</v>
      </c>
      <c r="L14" s="70">
        <f>(E21)/100000</f>
        <v>9.6391200000000001</v>
      </c>
      <c r="M14" s="70">
        <f>(F21)/100000</f>
        <v>12.85981</v>
      </c>
    </row>
    <row r="15" spans="2:16" x14ac:dyDescent="0.25">
      <c r="B15" s="21" t="s">
        <v>377</v>
      </c>
      <c r="C15" s="21"/>
      <c r="D15" s="21"/>
      <c r="E15" s="21"/>
      <c r="F15" s="21"/>
      <c r="I15" s="23" t="s">
        <v>375</v>
      </c>
      <c r="J15" s="27">
        <f t="shared" ref="J15:M15" si="2">J13-J14</f>
        <v>2.9244830999999927</v>
      </c>
      <c r="K15" s="27">
        <f t="shared" si="2"/>
        <v>1.6332544000000038</v>
      </c>
      <c r="L15" s="27">
        <f t="shared" si="2"/>
        <v>4.1334200000000063</v>
      </c>
      <c r="M15" s="27">
        <f t="shared" si="2"/>
        <v>4.8474999999999788</v>
      </c>
    </row>
    <row r="16" spans="2:16" x14ac:dyDescent="0.25">
      <c r="B16" s="10" t="s">
        <v>379</v>
      </c>
      <c r="C16" s="12">
        <v>325647.28999999998</v>
      </c>
      <c r="D16" s="12">
        <v>0</v>
      </c>
      <c r="E16" s="10"/>
      <c r="F16" s="10"/>
      <c r="I16" s="10" t="s">
        <v>376</v>
      </c>
      <c r="J16" s="12">
        <v>0</v>
      </c>
      <c r="K16" s="12">
        <v>0</v>
      </c>
      <c r="L16" s="12">
        <v>0</v>
      </c>
      <c r="M16" s="12">
        <v>0</v>
      </c>
    </row>
    <row r="17" spans="2:13" x14ac:dyDescent="0.25">
      <c r="B17" s="10" t="s">
        <v>381</v>
      </c>
      <c r="C17" s="12">
        <v>2900018.98</v>
      </c>
      <c r="D17" s="12">
        <v>4769446.29</v>
      </c>
      <c r="E17" s="12">
        <v>5176343</v>
      </c>
      <c r="F17" s="12">
        <v>7142588</v>
      </c>
      <c r="I17" t="s">
        <v>378</v>
      </c>
      <c r="J17" s="70">
        <f>(C34)/100000</f>
        <v>0.19567999999999999</v>
      </c>
      <c r="K17" s="70">
        <f>(D34)/100000</f>
        <v>0</v>
      </c>
      <c r="L17" s="70">
        <f>(E34)/100000</f>
        <v>0</v>
      </c>
      <c r="M17" s="70">
        <f>(F34)/100000</f>
        <v>0.37490000000000001</v>
      </c>
    </row>
    <row r="18" spans="2:13" ht="13.9" customHeight="1" x14ac:dyDescent="0.25">
      <c r="B18" s="10" t="s">
        <v>383</v>
      </c>
      <c r="C18" s="12">
        <v>0</v>
      </c>
      <c r="D18" s="12">
        <v>238530.84</v>
      </c>
      <c r="E18" s="12"/>
      <c r="F18" s="12"/>
      <c r="I18" s="23" t="s">
        <v>380</v>
      </c>
      <c r="J18" s="27">
        <f t="shared" ref="J18" si="3">J15-J16-J17</f>
        <v>2.7288030999999928</v>
      </c>
      <c r="K18" s="27">
        <f>K15-K16</f>
        <v>1.6332544000000038</v>
      </c>
      <c r="L18" s="27">
        <f>L15-L16</f>
        <v>4.1334200000000063</v>
      </c>
      <c r="M18" s="27">
        <f>M15-M16</f>
        <v>4.8474999999999788</v>
      </c>
    </row>
    <row r="19" spans="2:13" x14ac:dyDescent="0.25">
      <c r="B19" s="28" t="s">
        <v>385</v>
      </c>
      <c r="C19" s="10"/>
      <c r="D19" s="10"/>
      <c r="E19" s="12">
        <v>628133</v>
      </c>
      <c r="F19" s="12">
        <v>806014</v>
      </c>
      <c r="I19" s="28" t="s">
        <v>382</v>
      </c>
      <c r="J19" s="10"/>
      <c r="K19" s="10"/>
      <c r="L19" s="10"/>
      <c r="M19" s="10"/>
    </row>
    <row r="20" spans="2:13" x14ac:dyDescent="0.25">
      <c r="B20" s="10" t="s">
        <v>387</v>
      </c>
      <c r="C20" s="12">
        <v>1290000</v>
      </c>
      <c r="D20" s="12">
        <v>1238300</v>
      </c>
      <c r="E20" s="12">
        <v>1500000</v>
      </c>
      <c r="F20" s="12">
        <v>1500000</v>
      </c>
      <c r="I20" s="28" t="s">
        <v>384</v>
      </c>
      <c r="J20" s="70">
        <f>(C37)/100000</f>
        <v>0.52500000000000002</v>
      </c>
      <c r="K20" s="70">
        <f>(D37)/100000</f>
        <v>0.42464599999999997</v>
      </c>
      <c r="L20" s="70">
        <f>(E37)/100000</f>
        <v>1.45</v>
      </c>
      <c r="M20" s="70">
        <f>(F37)/100000</f>
        <v>1.1628799999999999</v>
      </c>
    </row>
    <row r="21" spans="2:13" x14ac:dyDescent="0.25">
      <c r="B21" s="10" t="s">
        <v>30</v>
      </c>
      <c r="C21" s="12">
        <v>92717</v>
      </c>
      <c r="D21" s="12">
        <v>378261</v>
      </c>
      <c r="E21" s="12">
        <v>963912</v>
      </c>
      <c r="F21" s="12">
        <v>1285981</v>
      </c>
      <c r="I21" s="23" t="s">
        <v>386</v>
      </c>
      <c r="J21" s="27">
        <f>J18-J20</f>
        <v>2.2038030999999929</v>
      </c>
      <c r="K21" s="27">
        <f t="shared" ref="K21:M21" si="4">K18-K20</f>
        <v>1.2086084000000037</v>
      </c>
      <c r="L21" s="27">
        <f t="shared" si="4"/>
        <v>2.6834200000000061</v>
      </c>
      <c r="M21" s="27">
        <f t="shared" si="4"/>
        <v>3.6846199999999789</v>
      </c>
    </row>
    <row r="22" spans="2:13" x14ac:dyDescent="0.25">
      <c r="B22" s="10" t="s">
        <v>389</v>
      </c>
      <c r="C22" s="12">
        <v>17700</v>
      </c>
      <c r="D22" s="12">
        <v>17500</v>
      </c>
      <c r="E22" s="12"/>
      <c r="F22" s="12"/>
      <c r="I22" s="30"/>
      <c r="J22" s="31"/>
      <c r="K22" s="31"/>
      <c r="L22" s="31"/>
      <c r="M22" s="31"/>
    </row>
    <row r="23" spans="2:13" x14ac:dyDescent="0.25">
      <c r="B23" s="10" t="s">
        <v>391</v>
      </c>
      <c r="C23" s="12"/>
      <c r="D23" s="12"/>
      <c r="E23" s="12">
        <v>775155</v>
      </c>
      <c r="F23" s="12">
        <v>1498710</v>
      </c>
      <c r="I23" s="32" t="s">
        <v>388</v>
      </c>
      <c r="J23" s="33">
        <f>J13/J7</f>
        <v>5.0313093912814591E-2</v>
      </c>
      <c r="K23" s="33">
        <f>K13/K7</f>
        <v>5.6465690615529904E-2</v>
      </c>
      <c r="L23" s="33">
        <f>L13/L7</f>
        <v>0.11011095890476677</v>
      </c>
      <c r="M23" s="33">
        <f>M13/M7</f>
        <v>0.11133633264025199</v>
      </c>
    </row>
    <row r="24" spans="2:13" x14ac:dyDescent="0.25">
      <c r="B24" s="82" t="s">
        <v>393</v>
      </c>
      <c r="C24" s="10"/>
      <c r="D24" s="10"/>
      <c r="E24" s="12"/>
      <c r="F24" s="12"/>
      <c r="I24" s="32" t="s">
        <v>390</v>
      </c>
      <c r="J24" s="33">
        <f>J15/J7</f>
        <v>3.8201725087012396E-2</v>
      </c>
      <c r="K24" s="33">
        <f>K15/K7</f>
        <v>1.7028276713658686E-2</v>
      </c>
      <c r="L24" s="33">
        <f>L15/L7</f>
        <v>3.3046543321431018E-2</v>
      </c>
      <c r="M24" s="33">
        <f>M15/M7</f>
        <v>3.0479100014266413E-2</v>
      </c>
    </row>
    <row r="25" spans="2:13" x14ac:dyDescent="0.25">
      <c r="B25" s="10" t="s">
        <v>395</v>
      </c>
      <c r="C25" s="12">
        <v>4870</v>
      </c>
      <c r="D25" s="10">
        <v>12500</v>
      </c>
      <c r="E25" s="12">
        <v>4650</v>
      </c>
      <c r="F25" s="12">
        <v>17500</v>
      </c>
      <c r="I25" s="32" t="s">
        <v>392</v>
      </c>
      <c r="J25" s="33">
        <f>J21/J7</f>
        <v>2.8787678811378881E-2</v>
      </c>
      <c r="K25" s="33">
        <f>K21/K7</f>
        <v>1.2600926269448471E-2</v>
      </c>
      <c r="L25" s="33">
        <f>L21/L7</f>
        <v>2.1453845793457833E-2</v>
      </c>
      <c r="M25" s="33">
        <f>M21/M7</f>
        <v>2.316738555844583E-2</v>
      </c>
    </row>
    <row r="26" spans="2:13" x14ac:dyDescent="0.25">
      <c r="B26" s="10" t="s">
        <v>396</v>
      </c>
      <c r="C26" s="12">
        <v>0</v>
      </c>
      <c r="D26" s="10">
        <v>296549.44</v>
      </c>
      <c r="E26" s="12">
        <v>582736</v>
      </c>
      <c r="F26" s="12">
        <v>165973</v>
      </c>
      <c r="I26" s="32" t="s">
        <v>394</v>
      </c>
      <c r="J26" s="33"/>
      <c r="K26" s="33">
        <f>K7/J7-1</f>
        <v>0.25290169512281424</v>
      </c>
      <c r="L26" s="33">
        <f>L7/K7-1</f>
        <v>0.30406836541555582</v>
      </c>
      <c r="M26" s="33">
        <f>M7/L7-1</f>
        <v>0.27154630754994824</v>
      </c>
    </row>
    <row r="27" spans="2:13" x14ac:dyDescent="0.25">
      <c r="B27" s="10" t="s">
        <v>397</v>
      </c>
      <c r="C27" s="12">
        <v>1801673.53</v>
      </c>
      <c r="D27" s="10">
        <v>1846437.58</v>
      </c>
      <c r="E27" s="12">
        <v>817186</v>
      </c>
      <c r="F27" s="12">
        <v>1298425</v>
      </c>
    </row>
    <row r="28" spans="2:13" x14ac:dyDescent="0.25">
      <c r="B28" s="10" t="s">
        <v>398</v>
      </c>
      <c r="C28" s="12">
        <v>66830</v>
      </c>
      <c r="D28" s="12">
        <v>42500</v>
      </c>
      <c r="E28" s="12">
        <v>12000</v>
      </c>
      <c r="F28" s="12">
        <v>18800</v>
      </c>
    </row>
    <row r="29" spans="2:13" x14ac:dyDescent="0.25">
      <c r="B29" s="10" t="s">
        <v>393</v>
      </c>
      <c r="C29" s="12">
        <v>863464.1</v>
      </c>
      <c r="D29" s="10">
        <v>588074.47</v>
      </c>
      <c r="E29" s="12">
        <v>1634417</v>
      </c>
      <c r="F29" s="12">
        <v>1124186</v>
      </c>
    </row>
    <row r="30" spans="2:13" x14ac:dyDescent="0.25">
      <c r="B30" s="10" t="s">
        <v>399</v>
      </c>
      <c r="C30" s="12">
        <v>0</v>
      </c>
      <c r="D30" s="12">
        <v>0</v>
      </c>
      <c r="E30" s="12">
        <v>0</v>
      </c>
      <c r="F30" s="12">
        <v>561414</v>
      </c>
    </row>
    <row r="31" spans="2:13" x14ac:dyDescent="0.25">
      <c r="B31" s="23" t="s">
        <v>400</v>
      </c>
      <c r="C31" s="24">
        <f>SUM(C16:C30)</f>
        <v>7362920.8999999994</v>
      </c>
      <c r="D31" s="24">
        <f>SUM(D16:D30)</f>
        <v>9428099.620000001</v>
      </c>
      <c r="E31" s="24">
        <f>SUM(E16:E30)</f>
        <v>12094532</v>
      </c>
      <c r="F31" s="24">
        <f>SUM(F16:F30)</f>
        <v>15419591</v>
      </c>
    </row>
    <row r="32" spans="2:13" x14ac:dyDescent="0.25">
      <c r="B32" s="10"/>
      <c r="C32" s="10"/>
      <c r="D32" s="10"/>
      <c r="E32" s="10"/>
      <c r="F32" s="10"/>
    </row>
    <row r="33" spans="2:6" x14ac:dyDescent="0.25">
      <c r="B33" s="23" t="s">
        <v>401</v>
      </c>
      <c r="C33" s="24">
        <f>C14-C31</f>
        <v>292448.31000000052</v>
      </c>
      <c r="D33" s="24">
        <f>D14-D31</f>
        <v>163325.43999999948</v>
      </c>
      <c r="E33" s="24">
        <f>E14-E31</f>
        <v>413342</v>
      </c>
      <c r="F33" s="24">
        <f>F14-F31</f>
        <v>484750</v>
      </c>
    </row>
    <row r="34" spans="2:6" x14ac:dyDescent="0.25">
      <c r="B34" s="10" t="s">
        <v>378</v>
      </c>
      <c r="C34" s="12">
        <v>19568</v>
      </c>
      <c r="D34" s="12">
        <v>0</v>
      </c>
      <c r="E34" s="12">
        <v>0</v>
      </c>
      <c r="F34" s="12">
        <v>37490</v>
      </c>
    </row>
    <row r="35" spans="2:6" x14ac:dyDescent="0.25">
      <c r="B35" s="23" t="s">
        <v>402</v>
      </c>
      <c r="C35" s="24">
        <f>C33-C34</f>
        <v>272880.31000000052</v>
      </c>
      <c r="D35" s="24">
        <f>D33-D34</f>
        <v>163325.43999999948</v>
      </c>
      <c r="E35" s="24">
        <f>E33-E34</f>
        <v>413342</v>
      </c>
      <c r="F35" s="24">
        <f>F33-F34</f>
        <v>447260</v>
      </c>
    </row>
    <row r="36" spans="2:6" x14ac:dyDescent="0.25">
      <c r="B36" s="10" t="s">
        <v>403</v>
      </c>
      <c r="C36" s="10"/>
      <c r="D36" s="10"/>
      <c r="E36" s="10"/>
      <c r="F36" s="10"/>
    </row>
    <row r="37" spans="2:6" x14ac:dyDescent="0.25">
      <c r="B37" s="10" t="s">
        <v>404</v>
      </c>
      <c r="C37" s="12">
        <v>52500</v>
      </c>
      <c r="D37" s="12">
        <v>42464.6</v>
      </c>
      <c r="E37" s="10">
        <v>145000</v>
      </c>
      <c r="F37" s="10">
        <v>116288</v>
      </c>
    </row>
    <row r="38" spans="2:6" x14ac:dyDescent="0.25">
      <c r="B38" s="23" t="s">
        <v>405</v>
      </c>
      <c r="C38" s="24">
        <f>C35-C37</f>
        <v>220380.31000000052</v>
      </c>
      <c r="D38" s="24">
        <f>D35-D37</f>
        <v>120860.83999999947</v>
      </c>
      <c r="E38" s="24">
        <f>E35-E37</f>
        <v>268342</v>
      </c>
      <c r="F38" s="24">
        <f>F35-F37</f>
        <v>330972</v>
      </c>
    </row>
    <row r="39" spans="2:6" x14ac:dyDescent="0.25">
      <c r="B39" s="10" t="s">
        <v>406</v>
      </c>
      <c r="C39" s="10">
        <v>0.74</v>
      </c>
      <c r="D39" s="12">
        <v>0.4</v>
      </c>
      <c r="E39" s="12">
        <v>0.6</v>
      </c>
      <c r="F39" s="10">
        <v>0.75</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topLeftCell="A4" workbookViewId="0">
      <selection activeCell="A27" sqref="A27"/>
    </sheetView>
  </sheetViews>
  <sheetFormatPr defaultRowHeight="15" x14ac:dyDescent="0.25"/>
  <cols>
    <col min="1" max="1" width="22.140625" bestFit="1" customWidth="1"/>
    <col min="2" max="3" width="14.7109375" bestFit="1" customWidth="1"/>
    <col min="4" max="5" width="15.28515625" bestFit="1" customWidth="1"/>
    <col min="6" max="6" width="9.28515625" customWidth="1"/>
    <col min="7" max="7" width="21" bestFit="1" customWidth="1"/>
    <col min="8" max="8" width="11.5703125" bestFit="1" customWidth="1"/>
    <col min="9" max="9" width="11" bestFit="1" customWidth="1"/>
    <col min="10" max="11" width="12.5703125" bestFit="1" customWidth="1"/>
    <col min="12" max="12" width="11.5703125" bestFit="1" customWidth="1"/>
  </cols>
  <sheetData>
    <row r="1" spans="1:18" ht="18.75" x14ac:dyDescent="0.3">
      <c r="A1" s="81" t="s">
        <v>326</v>
      </c>
      <c r="B1" s="81"/>
      <c r="C1" s="81"/>
      <c r="D1" s="81"/>
      <c r="E1" s="81"/>
      <c r="H1" t="s">
        <v>419</v>
      </c>
    </row>
    <row r="3" spans="1:18" x14ac:dyDescent="0.25">
      <c r="A3" s="21" t="s">
        <v>327</v>
      </c>
      <c r="B3" s="22">
        <v>2019</v>
      </c>
      <c r="C3" s="22">
        <f>B3+1</f>
        <v>2020</v>
      </c>
      <c r="D3" s="22">
        <f>C3+1</f>
        <v>2021</v>
      </c>
      <c r="E3" s="22">
        <f>D3+1</f>
        <v>2022</v>
      </c>
      <c r="F3" s="6"/>
      <c r="H3" s="2" t="s">
        <v>241</v>
      </c>
      <c r="I3" s="2" t="s">
        <v>411</v>
      </c>
      <c r="J3" s="2" t="s">
        <v>412</v>
      </c>
      <c r="K3" s="2" t="s">
        <v>413</v>
      </c>
      <c r="L3" s="2" t="s">
        <v>2</v>
      </c>
      <c r="M3" s="2" t="s">
        <v>3</v>
      </c>
      <c r="N3" s="2" t="s">
        <v>4</v>
      </c>
      <c r="O3" s="2" t="s">
        <v>5</v>
      </c>
      <c r="P3" s="2" t="s">
        <v>6</v>
      </c>
      <c r="Q3" s="2" t="s">
        <v>7</v>
      </c>
      <c r="R3" s="2" t="s">
        <v>535</v>
      </c>
    </row>
    <row r="4" spans="1:18" x14ac:dyDescent="0.25">
      <c r="A4" s="23" t="s">
        <v>328</v>
      </c>
      <c r="B4" s="23"/>
      <c r="C4" s="23"/>
      <c r="D4" s="23"/>
      <c r="E4" s="23"/>
      <c r="G4" t="s">
        <v>327</v>
      </c>
    </row>
    <row r="5" spans="1:18" x14ac:dyDescent="0.25">
      <c r="A5" s="10" t="s">
        <v>329</v>
      </c>
      <c r="B5" s="10"/>
      <c r="C5" s="10"/>
      <c r="D5" s="10"/>
      <c r="E5" s="10"/>
      <c r="G5" t="s">
        <v>414</v>
      </c>
      <c r="H5" s="6">
        <f>('P&amp;L (Hist)'!C5+'P&amp;L (Hist)'!C6)/100000</f>
        <v>75.855192099999996</v>
      </c>
      <c r="I5" s="6">
        <f>('P&amp;L (Hist)'!D5+'P&amp;L (Hist)'!D6)/100000</f>
        <v>87.186490599999999</v>
      </c>
      <c r="J5" s="6">
        <f>('P&amp;L (Hist)'!E5+'P&amp;L (Hist)'!E6)/100000</f>
        <v>118.43192000000001</v>
      </c>
      <c r="K5" s="6">
        <f>('P&amp;L (Hist)'!F5+'P&amp;L (Hist)'!F6)/100000</f>
        <v>144.06331</v>
      </c>
      <c r="L5" s="6">
        <f>PL!B9</f>
        <v>204.3</v>
      </c>
      <c r="M5" s="6">
        <f>PL!C9</f>
        <v>383.16999999999996</v>
      </c>
      <c r="N5" s="6">
        <f>PL!D9</f>
        <v>425.91000000000008</v>
      </c>
      <c r="O5" s="6">
        <f>PL!E9</f>
        <v>447.29499999999996</v>
      </c>
      <c r="P5" s="6">
        <f ca="1">PL!F9</f>
        <v>474.73002860758874</v>
      </c>
      <c r="Q5" s="6">
        <f ca="1">PL!G9</f>
        <v>496.70286645818311</v>
      </c>
      <c r="R5" s="6">
        <f ca="1">PL!H9</f>
        <v>518.76608738342486</v>
      </c>
    </row>
    <row r="6" spans="1:18" x14ac:dyDescent="0.25">
      <c r="A6" s="10" t="s">
        <v>271</v>
      </c>
      <c r="B6" s="10">
        <v>29.9</v>
      </c>
      <c r="C6" s="10">
        <v>44.4</v>
      </c>
      <c r="D6" s="10">
        <v>44.4</v>
      </c>
      <c r="E6" s="10">
        <v>44.4</v>
      </c>
      <c r="F6" s="6"/>
      <c r="G6" t="s">
        <v>415</v>
      </c>
      <c r="H6" s="6">
        <f>('P&amp;L (Hist)'!J9)</f>
        <v>32.2566627</v>
      </c>
      <c r="I6" s="6">
        <f>('P&amp;L (Hist)'!K9)</f>
        <v>50.079771299999997</v>
      </c>
      <c r="J6" s="6">
        <f>('P&amp;L (Hist)'!L9)</f>
        <v>51.76343</v>
      </c>
      <c r="K6" s="6">
        <f>('P&amp;L (Hist)'!M9)</f>
        <v>71.425880000000006</v>
      </c>
      <c r="L6" s="6">
        <f>PL!B13+PL!B14</f>
        <v>138.1</v>
      </c>
      <c r="M6" s="6">
        <f>PL!C13+PL!C14</f>
        <v>230.36625000000001</v>
      </c>
      <c r="N6" s="6">
        <f>PL!D13+PL!D14</f>
        <v>255.6925</v>
      </c>
      <c r="O6" s="6">
        <f>PL!E13+PL!E14</f>
        <v>268.47562500000004</v>
      </c>
      <c r="P6" s="6">
        <f>PL!F13+PL!F14</f>
        <v>268.72562500000004</v>
      </c>
      <c r="Q6" s="6">
        <f>PL!G13+PL!G14</f>
        <v>268.97562500000004</v>
      </c>
      <c r="R6" s="6">
        <f>PL!H13+PL!H14</f>
        <v>269.24562500000002</v>
      </c>
    </row>
    <row r="7" spans="1:18" x14ac:dyDescent="0.25">
      <c r="A7" s="10" t="s">
        <v>330</v>
      </c>
      <c r="B7" s="12">
        <v>9.6185062000000006</v>
      </c>
      <c r="C7" s="12">
        <v>10.8271145</v>
      </c>
      <c r="D7" s="12">
        <v>13.510540000000001</v>
      </c>
      <c r="E7" s="12">
        <v>16.820260000000001</v>
      </c>
      <c r="F7" s="6"/>
      <c r="H7" s="6"/>
      <c r="I7" s="6"/>
      <c r="J7" s="6"/>
      <c r="K7" s="6"/>
    </row>
    <row r="8" spans="1:18" x14ac:dyDescent="0.25">
      <c r="A8" s="10" t="s">
        <v>331</v>
      </c>
      <c r="B8" s="12">
        <f>SUM(B6:B7)</f>
        <v>39.518506199999997</v>
      </c>
      <c r="C8" s="12">
        <f>SUM(C6:C7)</f>
        <v>55.227114499999999</v>
      </c>
      <c r="D8" s="12">
        <f t="shared" ref="D8:E8" si="0">SUM(D6:D7)</f>
        <v>57.910539999999997</v>
      </c>
      <c r="E8" s="12">
        <f t="shared" si="0"/>
        <v>61.220259999999996</v>
      </c>
      <c r="F8" s="6"/>
      <c r="G8" t="s">
        <v>345</v>
      </c>
      <c r="H8" s="6">
        <f>(B25)</f>
        <v>50.433790199999997</v>
      </c>
      <c r="I8" s="6">
        <f>(C25)</f>
        <v>52.158505599999998</v>
      </c>
      <c r="J8" s="6">
        <f>(D25)</f>
        <v>74.463840000000005</v>
      </c>
      <c r="K8" s="6">
        <f>(E25)</f>
        <v>71.772829999999999</v>
      </c>
      <c r="L8" s="6">
        <f>L5*L12</f>
        <v>111.03510389291147</v>
      </c>
      <c r="M8" s="6">
        <f t="shared" ref="M8:R8" si="1">M5*M12</f>
        <v>208.24924502519275</v>
      </c>
      <c r="N8" s="6">
        <f t="shared" si="1"/>
        <v>231.47802789539858</v>
      </c>
      <c r="O8" s="6">
        <f t="shared" si="1"/>
        <v>243.1005716876154</v>
      </c>
      <c r="P8" s="6">
        <f t="shared" ca="1" si="1"/>
        <v>258.01124839710451</v>
      </c>
      <c r="Q8" s="6">
        <f t="shared" ca="1" si="1"/>
        <v>269.95327646153345</v>
      </c>
      <c r="R8" s="6">
        <f t="shared" ca="1" si="1"/>
        <v>281.94442686606834</v>
      </c>
    </row>
    <row r="9" spans="1:18" x14ac:dyDescent="0.25">
      <c r="A9" s="10" t="s">
        <v>332</v>
      </c>
      <c r="B9" s="10"/>
      <c r="C9" s="10"/>
      <c r="D9" s="10"/>
      <c r="E9" s="10"/>
      <c r="G9" t="s">
        <v>344</v>
      </c>
      <c r="H9" s="6">
        <f>(B24)</f>
        <v>5.1516039000000005</v>
      </c>
      <c r="I9" s="6">
        <f>(C24)</f>
        <v>15.0095533</v>
      </c>
      <c r="J9" s="6">
        <f>(D24)</f>
        <v>20.28276</v>
      </c>
      <c r="K9" s="6">
        <f>(E24)</f>
        <v>24.673729999999999</v>
      </c>
      <c r="L9" s="6">
        <f>L6*L13</f>
        <v>39.445861192587216</v>
      </c>
      <c r="M9" s="6">
        <f t="shared" ref="M9:R9" si="2">M6*M13</f>
        <v>65.800109492808446</v>
      </c>
      <c r="N9" s="6">
        <f t="shared" si="2"/>
        <v>73.034111969483035</v>
      </c>
      <c r="O9" s="6">
        <f t="shared" si="2"/>
        <v>76.685389119066613</v>
      </c>
      <c r="P9" s="6">
        <f t="shared" si="2"/>
        <v>76.756797267496353</v>
      </c>
      <c r="Q9" s="6">
        <f t="shared" si="2"/>
        <v>76.828205415926092</v>
      </c>
      <c r="R9" s="6">
        <f t="shared" si="2"/>
        <v>76.905326216230208</v>
      </c>
    </row>
    <row r="10" spans="1:18" x14ac:dyDescent="0.25">
      <c r="A10" s="10" t="s">
        <v>333</v>
      </c>
      <c r="B10" s="10"/>
      <c r="C10" s="10"/>
      <c r="D10" s="10"/>
      <c r="E10" s="10"/>
      <c r="G10" t="s">
        <v>334</v>
      </c>
      <c r="H10" s="6">
        <f>(B11)</f>
        <v>0</v>
      </c>
      <c r="I10" s="6">
        <f>(C11)</f>
        <v>0</v>
      </c>
      <c r="J10" s="6">
        <f>(D11)</f>
        <v>71.175179999999997</v>
      </c>
      <c r="K10" s="6">
        <f>(E11)</f>
        <v>64.935540000000003</v>
      </c>
      <c r="L10" s="6">
        <f>L6*L14</f>
        <v>75.509186566499409</v>
      </c>
      <c r="M10" s="6">
        <f t="shared" ref="M10:R10" si="3">M6*M14</f>
        <v>125.9577708173414</v>
      </c>
      <c r="N10" s="6">
        <f t="shared" si="3"/>
        <v>139.80545029800618</v>
      </c>
      <c r="O10" s="6">
        <f t="shared" si="3"/>
        <v>146.79490265519578</v>
      </c>
      <c r="P10" s="6">
        <f t="shared" si="3"/>
        <v>146.93159560698163</v>
      </c>
      <c r="Q10" s="6">
        <f t="shared" si="3"/>
        <v>147.06828855876748</v>
      </c>
      <c r="R10" s="6">
        <f t="shared" si="3"/>
        <v>147.21591694669618</v>
      </c>
    </row>
    <row r="11" spans="1:18" x14ac:dyDescent="0.25">
      <c r="A11" s="10" t="s">
        <v>334</v>
      </c>
      <c r="B11" s="10"/>
      <c r="C11" s="10"/>
      <c r="D11" s="10">
        <v>71.175179999999997</v>
      </c>
      <c r="E11" s="10">
        <v>64.935540000000003</v>
      </c>
    </row>
    <row r="12" spans="1:18" x14ac:dyDescent="0.25">
      <c r="A12" s="10" t="s">
        <v>298</v>
      </c>
      <c r="B12" s="12">
        <v>99.409748300000004</v>
      </c>
      <c r="C12" s="12">
        <v>126.4137966</v>
      </c>
      <c r="D12" s="12">
        <v>67.233279999999993</v>
      </c>
      <c r="E12" s="12">
        <v>76.88767</v>
      </c>
      <c r="F12" s="6"/>
      <c r="G12" t="s">
        <v>417</v>
      </c>
      <c r="I12" s="34">
        <f t="shared" ref="I12:K13" si="4">AVERAGE(H8:I8)/I5</f>
        <v>0.58834972651141426</v>
      </c>
      <c r="J12" s="34">
        <f t="shared" si="4"/>
        <v>0.53457862373589826</v>
      </c>
      <c r="K12" s="34">
        <f t="shared" si="4"/>
        <v>0.50754307255608666</v>
      </c>
      <c r="L12" s="35">
        <f>AVERAGE(I12:K12)</f>
        <v>0.54349047426779962</v>
      </c>
      <c r="M12" s="5">
        <f>L12</f>
        <v>0.54349047426779962</v>
      </c>
      <c r="N12" s="5">
        <f t="shared" ref="N12:R12" si="5">M12</f>
        <v>0.54349047426779962</v>
      </c>
      <c r="O12" s="5">
        <f t="shared" si="5"/>
        <v>0.54349047426779962</v>
      </c>
      <c r="P12" s="5">
        <f t="shared" si="5"/>
        <v>0.54349047426779962</v>
      </c>
      <c r="Q12" s="5">
        <f t="shared" si="5"/>
        <v>0.54349047426779962</v>
      </c>
      <c r="R12" s="5">
        <f t="shared" si="5"/>
        <v>0.54349047426779962</v>
      </c>
    </row>
    <row r="13" spans="1:18" x14ac:dyDescent="0.25">
      <c r="A13" s="10" t="s">
        <v>335</v>
      </c>
      <c r="B13" s="12">
        <v>4.2274029999999998</v>
      </c>
      <c r="C13" s="12">
        <v>4.6520491000000002</v>
      </c>
      <c r="D13" s="12">
        <v>6.1020500000000002</v>
      </c>
      <c r="E13" s="12">
        <v>7.2649299999999997</v>
      </c>
      <c r="G13" t="s">
        <v>416</v>
      </c>
      <c r="I13" s="34">
        <f t="shared" si="4"/>
        <v>0.20129042801758965</v>
      </c>
      <c r="J13" s="34">
        <f t="shared" si="4"/>
        <v>0.34090006496864683</v>
      </c>
      <c r="K13" s="34">
        <f t="shared" si="4"/>
        <v>0.31470728817061827</v>
      </c>
      <c r="L13" s="35">
        <f>AVERAGE(I13:K13)</f>
        <v>0.28563259371895161</v>
      </c>
      <c r="M13" s="5">
        <f>L13</f>
        <v>0.28563259371895161</v>
      </c>
      <c r="N13" s="5">
        <f t="shared" ref="N13:R13" si="6">M13</f>
        <v>0.28563259371895161</v>
      </c>
      <c r="O13" s="5">
        <f t="shared" si="6"/>
        <v>0.28563259371895161</v>
      </c>
      <c r="P13" s="5">
        <f t="shared" si="6"/>
        <v>0.28563259371895161</v>
      </c>
      <c r="Q13" s="5">
        <f t="shared" si="6"/>
        <v>0.28563259371895161</v>
      </c>
      <c r="R13" s="5">
        <f t="shared" si="6"/>
        <v>0.28563259371895161</v>
      </c>
    </row>
    <row r="14" spans="1:18" x14ac:dyDescent="0.25">
      <c r="A14" s="10" t="s">
        <v>336</v>
      </c>
      <c r="B14" s="12">
        <f>SUM(B12:B13)</f>
        <v>103.6371513</v>
      </c>
      <c r="C14" s="12">
        <f>SUM(C12:C13)</f>
        <v>131.06584570000001</v>
      </c>
      <c r="D14" s="12">
        <f>SUM(D11:D13)</f>
        <v>144.51050999999998</v>
      </c>
      <c r="E14" s="12">
        <f>SUM(E11:E13)</f>
        <v>149.08814000000001</v>
      </c>
      <c r="G14" t="s">
        <v>418</v>
      </c>
      <c r="I14" s="34">
        <f>AVERAGE(H10:I10)/I6</f>
        <v>0</v>
      </c>
      <c r="J14" s="34">
        <f>AVERAGE(I10:J10)/J6</f>
        <v>0.68750447951381888</v>
      </c>
      <c r="K14" s="34">
        <f>AVERAGE(J10:K10)/K6</f>
        <v>0.95281094191629145</v>
      </c>
      <c r="L14" s="35">
        <f>AVERAGE(I14:K14)</f>
        <v>0.54677180714337015</v>
      </c>
      <c r="M14" s="5">
        <f>L14</f>
        <v>0.54677180714337015</v>
      </c>
      <c r="N14" s="5">
        <f t="shared" ref="N14:R14" si="7">M14</f>
        <v>0.54677180714337015</v>
      </c>
      <c r="O14" s="5">
        <f t="shared" si="7"/>
        <v>0.54677180714337015</v>
      </c>
      <c r="P14" s="5">
        <f t="shared" si="7"/>
        <v>0.54677180714337015</v>
      </c>
      <c r="Q14" s="5">
        <f t="shared" si="7"/>
        <v>0.54677180714337015</v>
      </c>
      <c r="R14" s="5">
        <f t="shared" si="7"/>
        <v>0.54677180714337015</v>
      </c>
    </row>
    <row r="15" spans="1:18" x14ac:dyDescent="0.25">
      <c r="A15" s="23" t="s">
        <v>337</v>
      </c>
      <c r="B15" s="24">
        <f>B8+B14</f>
        <v>143.15565749999999</v>
      </c>
      <c r="C15" s="24">
        <f>C8+C14</f>
        <v>186.29296020000001</v>
      </c>
      <c r="D15" s="24">
        <f>D8+D14</f>
        <v>202.42104999999998</v>
      </c>
      <c r="E15" s="24">
        <f>E8+E14</f>
        <v>210.30840000000001</v>
      </c>
      <c r="F15" s="6"/>
    </row>
    <row r="16" spans="1:18" x14ac:dyDescent="0.25">
      <c r="D16" s="34">
        <f>D12/D14</f>
        <v>0.46524837536038038</v>
      </c>
      <c r="E16" s="34">
        <f>E12/E14</f>
        <v>0.51571956025475929</v>
      </c>
      <c r="F16" s="6"/>
    </row>
    <row r="17" spans="1:6" x14ac:dyDescent="0.25">
      <c r="A17" s="23" t="s">
        <v>338</v>
      </c>
      <c r="B17" s="23"/>
      <c r="C17" s="23"/>
      <c r="D17" s="23"/>
      <c r="E17" s="23"/>
      <c r="F17" s="6"/>
    </row>
    <row r="18" spans="1:6" x14ac:dyDescent="0.25">
      <c r="A18" s="10" t="s">
        <v>339</v>
      </c>
      <c r="B18" s="10"/>
      <c r="C18" s="10"/>
      <c r="D18" s="10"/>
      <c r="E18" s="10"/>
      <c r="F18" s="6"/>
    </row>
    <row r="19" spans="1:6" x14ac:dyDescent="0.25">
      <c r="A19" s="10" t="s">
        <v>340</v>
      </c>
      <c r="B19" s="12">
        <v>24.686117719999999</v>
      </c>
      <c r="C19" s="12">
        <v>65.402084200000004</v>
      </c>
      <c r="D19" s="12">
        <v>66.662970000000001</v>
      </c>
      <c r="E19" s="12">
        <v>84.447959999999995</v>
      </c>
    </row>
    <row r="20" spans="1:6" x14ac:dyDescent="0.25">
      <c r="A20" s="10" t="s">
        <v>341</v>
      </c>
      <c r="B20" s="10"/>
      <c r="C20" s="10"/>
      <c r="D20" s="12"/>
      <c r="E20" s="12"/>
    </row>
    <row r="21" spans="1:6" x14ac:dyDescent="0.25">
      <c r="A21" s="10" t="s">
        <v>342</v>
      </c>
      <c r="B21" s="10"/>
      <c r="C21" s="10"/>
      <c r="D21" s="12">
        <v>1.89924</v>
      </c>
      <c r="E21" s="12">
        <v>1.89924</v>
      </c>
    </row>
    <row r="22" spans="1:6" x14ac:dyDescent="0.25">
      <c r="A22" s="10" t="s">
        <v>343</v>
      </c>
      <c r="B22" s="12">
        <f>B19</f>
        <v>24.686117719999999</v>
      </c>
      <c r="C22" s="12">
        <f>C19</f>
        <v>65.402084200000004</v>
      </c>
      <c r="D22" s="12">
        <f>SUM(D19:D21)</f>
        <v>68.562210000000007</v>
      </c>
      <c r="E22" s="12">
        <f>SUM(E19:E21)</f>
        <v>86.347200000000001</v>
      </c>
      <c r="F22" s="6"/>
    </row>
    <row r="23" spans="1:6" x14ac:dyDescent="0.25">
      <c r="A23" s="10" t="s">
        <v>304</v>
      </c>
      <c r="B23" s="10"/>
      <c r="C23" s="10"/>
      <c r="D23" s="10"/>
      <c r="E23" s="10"/>
      <c r="F23" s="6"/>
    </row>
    <row r="24" spans="1:6" x14ac:dyDescent="0.25">
      <c r="A24" s="10" t="s">
        <v>344</v>
      </c>
      <c r="B24" s="12">
        <v>5.1516039000000005</v>
      </c>
      <c r="C24" s="12">
        <v>15.0095533</v>
      </c>
      <c r="D24" s="12">
        <v>20.28276</v>
      </c>
      <c r="E24" s="12">
        <v>24.673729999999999</v>
      </c>
      <c r="F24" s="6"/>
    </row>
    <row r="25" spans="1:6" x14ac:dyDescent="0.25">
      <c r="A25" s="10" t="s">
        <v>345</v>
      </c>
      <c r="B25" s="12">
        <v>50.433790199999997</v>
      </c>
      <c r="C25" s="12">
        <v>52.158505599999998</v>
      </c>
      <c r="D25" s="12">
        <v>74.463840000000005</v>
      </c>
      <c r="E25" s="12">
        <v>71.772829999999999</v>
      </c>
      <c r="F25" s="6"/>
    </row>
    <row r="26" spans="1:6" x14ac:dyDescent="0.25">
      <c r="A26" s="10" t="s">
        <v>346</v>
      </c>
      <c r="B26" s="12">
        <v>18.0998585</v>
      </c>
      <c r="C26" s="12">
        <v>3.1289209000000002</v>
      </c>
      <c r="D26" s="12">
        <v>2.22357</v>
      </c>
      <c r="E26" s="12">
        <v>15.779450000000001</v>
      </c>
    </row>
    <row r="27" spans="1:6" x14ac:dyDescent="0.25">
      <c r="A27" s="10" t="s">
        <v>347</v>
      </c>
      <c r="B27" s="12">
        <v>44.784287699999993</v>
      </c>
      <c r="C27" s="12">
        <v>50.593896100000002</v>
      </c>
      <c r="D27" s="12">
        <v>5.0387599999999999</v>
      </c>
      <c r="E27" s="12">
        <v>6.5806899999999997</v>
      </c>
    </row>
    <row r="28" spans="1:6" x14ac:dyDescent="0.25">
      <c r="A28" s="10" t="s">
        <v>348</v>
      </c>
      <c r="B28" s="12"/>
      <c r="C28" s="12"/>
      <c r="D28" s="12">
        <v>31.849910000000001</v>
      </c>
      <c r="E28" s="12">
        <v>5.1545100000000001</v>
      </c>
      <c r="F28" s="6"/>
    </row>
    <row r="29" spans="1:6" x14ac:dyDescent="0.25">
      <c r="A29" s="10" t="s">
        <v>349</v>
      </c>
      <c r="B29" s="12">
        <f>SUM(B24:B28)</f>
        <v>118.46954029999999</v>
      </c>
      <c r="C29" s="12">
        <f>SUM(C24:C28)</f>
        <v>120.8908759</v>
      </c>
      <c r="D29" s="12">
        <f t="shared" ref="D29:E29" si="8">SUM(D24:D28)</f>
        <v>133.85883999999999</v>
      </c>
      <c r="E29" s="12">
        <f t="shared" si="8"/>
        <v>123.96121000000001</v>
      </c>
      <c r="F29" s="6"/>
    </row>
    <row r="30" spans="1:6" x14ac:dyDescent="0.25">
      <c r="A30" s="23" t="s">
        <v>350</v>
      </c>
      <c r="B30" s="24">
        <f>B22+B29</f>
        <v>143.15565801999998</v>
      </c>
      <c r="C30" s="24">
        <f>C22+C29</f>
        <v>186.29296010000002</v>
      </c>
      <c r="D30" s="24">
        <f>D22+D29</f>
        <v>202.42104999999998</v>
      </c>
      <c r="E30" s="24">
        <f>E22+E29</f>
        <v>210.30841000000001</v>
      </c>
      <c r="F30" s="6"/>
    </row>
    <row r="31" spans="1:6" x14ac:dyDescent="0.25">
      <c r="F31" s="6"/>
    </row>
    <row r="32" spans="1:6" x14ac:dyDescent="0.25">
      <c r="F32" s="6"/>
    </row>
    <row r="33" spans="6:6" x14ac:dyDescent="0.25">
      <c r="F33" s="6"/>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workbookViewId="0">
      <selection activeCell="E8" sqref="E8"/>
    </sheetView>
  </sheetViews>
  <sheetFormatPr defaultRowHeight="15" x14ac:dyDescent="0.25"/>
  <cols>
    <col min="2" max="2" width="30.42578125" bestFit="1" customWidth="1"/>
    <col min="3" max="3" width="11.85546875" customWidth="1"/>
    <col min="4" max="4" width="15.42578125" customWidth="1"/>
  </cols>
  <sheetData>
    <row r="1" spans="1:15" x14ac:dyDescent="0.25">
      <c r="E1" s="2" t="s">
        <v>241</v>
      </c>
      <c r="F1" s="2" t="s">
        <v>411</v>
      </c>
      <c r="G1" s="2" t="s">
        <v>412</v>
      </c>
      <c r="H1" s="2" t="s">
        <v>413</v>
      </c>
      <c r="I1" s="2" t="s">
        <v>1</v>
      </c>
      <c r="J1" s="2" t="s">
        <v>2</v>
      </c>
      <c r="K1" s="2" t="s">
        <v>3</v>
      </c>
      <c r="L1" s="2" t="s">
        <v>4</v>
      </c>
      <c r="M1" s="2" t="s">
        <v>5</v>
      </c>
      <c r="N1" s="2" t="s">
        <v>6</v>
      </c>
      <c r="O1" s="2" t="s">
        <v>7</v>
      </c>
    </row>
    <row r="2" spans="1:15" x14ac:dyDescent="0.25">
      <c r="A2" t="s">
        <v>420</v>
      </c>
      <c r="B2" t="s">
        <v>421</v>
      </c>
    </row>
    <row r="4" spans="1:15" x14ac:dyDescent="0.25">
      <c r="B4" t="s">
        <v>422</v>
      </c>
    </row>
    <row r="7" spans="1:15" x14ac:dyDescent="0.25">
      <c r="B7" s="30" t="s">
        <v>483</v>
      </c>
      <c r="C7" s="30" t="s">
        <v>488</v>
      </c>
      <c r="D7" s="30" t="s">
        <v>501</v>
      </c>
      <c r="E7" s="30" t="s">
        <v>413</v>
      </c>
      <c r="F7" s="30" t="s">
        <v>412</v>
      </c>
      <c r="G7" s="30" t="s">
        <v>512</v>
      </c>
    </row>
    <row r="8" spans="1:15" x14ac:dyDescent="0.25">
      <c r="B8" s="10" t="s">
        <v>484</v>
      </c>
      <c r="C8" s="10" t="s">
        <v>304</v>
      </c>
      <c r="D8" s="10" t="s">
        <v>332</v>
      </c>
      <c r="E8" s="43">
        <v>0.83</v>
      </c>
      <c r="F8" s="43">
        <v>0.92</v>
      </c>
      <c r="G8" s="48">
        <v>-8.9999999999999998E-4</v>
      </c>
    </row>
    <row r="9" spans="1:15" x14ac:dyDescent="0.25">
      <c r="B9" s="10" t="s">
        <v>485</v>
      </c>
      <c r="C9" s="10" t="s">
        <v>489</v>
      </c>
      <c r="D9" s="10" t="s">
        <v>502</v>
      </c>
      <c r="E9" s="43">
        <v>33.57</v>
      </c>
      <c r="F9" s="43">
        <v>32.549999999999997</v>
      </c>
      <c r="G9" s="48">
        <v>1.0200000000000001E-2</v>
      </c>
    </row>
    <row r="10" spans="1:15" x14ac:dyDescent="0.25">
      <c r="B10" s="10" t="s">
        <v>492</v>
      </c>
      <c r="C10" s="10" t="s">
        <v>490</v>
      </c>
      <c r="D10" s="10" t="s">
        <v>503</v>
      </c>
      <c r="E10" s="43" t="s">
        <v>513</v>
      </c>
      <c r="F10" s="43" t="s">
        <v>513</v>
      </c>
      <c r="G10" s="43" t="s">
        <v>513</v>
      </c>
    </row>
    <row r="11" spans="1:15" x14ac:dyDescent="0.25">
      <c r="B11" s="10" t="s">
        <v>493</v>
      </c>
      <c r="C11" s="10" t="s">
        <v>491</v>
      </c>
      <c r="D11" s="10" t="s">
        <v>504</v>
      </c>
      <c r="E11" s="43" t="s">
        <v>513</v>
      </c>
      <c r="F11" s="43" t="s">
        <v>513</v>
      </c>
      <c r="G11" s="43" t="s">
        <v>513</v>
      </c>
    </row>
    <row r="12" spans="1:15" x14ac:dyDescent="0.25">
      <c r="B12" s="10" t="s">
        <v>421</v>
      </c>
      <c r="C12" s="10" t="s">
        <v>415</v>
      </c>
      <c r="D12" s="10" t="s">
        <v>505</v>
      </c>
      <c r="E12" s="43" t="s">
        <v>513</v>
      </c>
      <c r="F12" s="43" t="s">
        <v>513</v>
      </c>
      <c r="G12" s="43" t="s">
        <v>513</v>
      </c>
    </row>
    <row r="13" spans="1:15" x14ac:dyDescent="0.25">
      <c r="B13" s="10" t="s">
        <v>494</v>
      </c>
      <c r="C13" s="10" t="s">
        <v>11</v>
      </c>
      <c r="D13" s="10" t="s">
        <v>506</v>
      </c>
      <c r="E13" s="29">
        <v>0.5</v>
      </c>
      <c r="F13" s="43">
        <v>0.62</v>
      </c>
      <c r="G13" s="43">
        <v>-0.12</v>
      </c>
    </row>
    <row r="14" spans="1:15" x14ac:dyDescent="0.25">
      <c r="B14" s="10" t="s">
        <v>495</v>
      </c>
      <c r="C14" s="10" t="s">
        <v>498</v>
      </c>
      <c r="D14" s="10" t="s">
        <v>507</v>
      </c>
      <c r="E14" s="43">
        <v>0.45</v>
      </c>
      <c r="F14" s="29">
        <v>0.6</v>
      </c>
      <c r="G14" s="43">
        <v>-0.15</v>
      </c>
    </row>
    <row r="15" spans="1:15" x14ac:dyDescent="0.25">
      <c r="B15" s="10" t="s">
        <v>496</v>
      </c>
      <c r="C15" s="10" t="s">
        <v>358</v>
      </c>
      <c r="D15" s="10" t="s">
        <v>508</v>
      </c>
      <c r="E15" s="43">
        <v>-5.73</v>
      </c>
      <c r="F15" s="43">
        <v>-11.12</v>
      </c>
      <c r="G15" s="43">
        <v>-16.850000000000001</v>
      </c>
    </row>
    <row r="16" spans="1:15" x14ac:dyDescent="0.25">
      <c r="B16" s="10" t="s">
        <v>486</v>
      </c>
      <c r="C16" s="10" t="s">
        <v>499</v>
      </c>
      <c r="D16" s="10" t="s">
        <v>509</v>
      </c>
      <c r="E16" s="43">
        <v>0.02</v>
      </c>
      <c r="F16" s="43">
        <v>0.02</v>
      </c>
      <c r="G16" s="43" t="s">
        <v>513</v>
      </c>
    </row>
    <row r="17" spans="2:7" x14ac:dyDescent="0.25">
      <c r="B17" s="10" t="s">
        <v>497</v>
      </c>
      <c r="C17" s="10" t="s">
        <v>500</v>
      </c>
      <c r="D17" s="10" t="s">
        <v>510</v>
      </c>
      <c r="E17" s="43" t="s">
        <v>513</v>
      </c>
      <c r="F17" s="43" t="s">
        <v>513</v>
      </c>
      <c r="G17" s="43" t="s">
        <v>513</v>
      </c>
    </row>
    <row r="18" spans="2:7" x14ac:dyDescent="0.25">
      <c r="B18" s="10" t="s">
        <v>487</v>
      </c>
      <c r="C18" s="10" t="s">
        <v>499</v>
      </c>
      <c r="D18" s="10" t="s">
        <v>511</v>
      </c>
      <c r="E18" s="43" t="s">
        <v>513</v>
      </c>
      <c r="F18" s="43" t="s">
        <v>513</v>
      </c>
      <c r="G18" s="43" t="s">
        <v>513</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1"/>
  <sheetViews>
    <sheetView topLeftCell="G13" zoomScaleNormal="100" workbookViewId="0">
      <selection activeCell="Q29" sqref="Q29"/>
    </sheetView>
  </sheetViews>
  <sheetFormatPr defaultRowHeight="15" x14ac:dyDescent="0.25"/>
  <cols>
    <col min="1" max="1" width="35" customWidth="1"/>
    <col min="2" max="2" width="10.5703125" bestFit="1" customWidth="1"/>
    <col min="13" max="13" width="11" bestFit="1" customWidth="1"/>
    <col min="16" max="16" width="22.42578125" customWidth="1"/>
  </cols>
  <sheetData>
    <row r="1" spans="1:23" ht="18.75" x14ac:dyDescent="0.3">
      <c r="A1" s="81" t="s">
        <v>455</v>
      </c>
      <c r="B1" s="81"/>
      <c r="C1" s="81"/>
      <c r="D1" s="81"/>
      <c r="E1" s="81"/>
      <c r="F1" s="81"/>
      <c r="G1" s="81"/>
      <c r="H1" s="81"/>
      <c r="P1" s="81" t="s">
        <v>454</v>
      </c>
      <c r="Q1" s="81"/>
      <c r="R1" s="81"/>
      <c r="S1" s="81"/>
      <c r="T1" s="81"/>
      <c r="U1" s="81"/>
      <c r="V1" s="81"/>
      <c r="W1" s="81"/>
    </row>
    <row r="2" spans="1:23" x14ac:dyDescent="0.25">
      <c r="B2" s="4" t="s">
        <v>14</v>
      </c>
      <c r="C2" s="4" t="s">
        <v>15</v>
      </c>
      <c r="D2" s="4" t="s">
        <v>16</v>
      </c>
      <c r="E2" s="4" t="s">
        <v>17</v>
      </c>
      <c r="F2" s="4" t="s">
        <v>18</v>
      </c>
      <c r="G2" s="4" t="s">
        <v>19</v>
      </c>
      <c r="H2" s="4" t="s">
        <v>20</v>
      </c>
      <c r="Q2" s="4" t="s">
        <v>14</v>
      </c>
      <c r="R2" s="4" t="s">
        <v>15</v>
      </c>
      <c r="S2" s="4" t="s">
        <v>16</v>
      </c>
      <c r="T2" s="4" t="s">
        <v>17</v>
      </c>
      <c r="U2" s="4" t="s">
        <v>18</v>
      </c>
      <c r="V2" s="4" t="s">
        <v>19</v>
      </c>
      <c r="W2" s="4" t="s">
        <v>20</v>
      </c>
    </row>
    <row r="3" spans="1:23" x14ac:dyDescent="0.25">
      <c r="A3" s="21" t="s">
        <v>327</v>
      </c>
      <c r="B3" s="2" t="s">
        <v>2</v>
      </c>
      <c r="C3" s="2" t="s">
        <v>3</v>
      </c>
      <c r="D3" s="2" t="s">
        <v>4</v>
      </c>
      <c r="E3" s="2" t="s">
        <v>5</v>
      </c>
      <c r="F3" s="2" t="s">
        <v>6</v>
      </c>
      <c r="G3" s="2" t="s">
        <v>7</v>
      </c>
      <c r="H3" s="2" t="s">
        <v>535</v>
      </c>
      <c r="K3" s="6">
        <f>38.45*8/12</f>
        <v>25.633333333333336</v>
      </c>
      <c r="P3" s="21" t="s">
        <v>327</v>
      </c>
      <c r="Q3" s="2" t="s">
        <v>2</v>
      </c>
      <c r="R3" s="2" t="s">
        <v>3</v>
      </c>
      <c r="S3" s="2" t="s">
        <v>4</v>
      </c>
      <c r="T3" s="2" t="s">
        <v>5</v>
      </c>
      <c r="U3" s="2" t="s">
        <v>6</v>
      </c>
      <c r="V3" s="2" t="s">
        <v>7</v>
      </c>
      <c r="W3" s="2" t="s">
        <v>535</v>
      </c>
    </row>
    <row r="4" spans="1:23" x14ac:dyDescent="0.25">
      <c r="P4" s="15" t="s">
        <v>548</v>
      </c>
      <c r="Q4" s="13">
        <f>B5</f>
        <v>0.4</v>
      </c>
      <c r="R4" s="13">
        <f t="shared" ref="R4:W4" si="0">C5</f>
        <v>0.45</v>
      </c>
      <c r="S4" s="13">
        <f t="shared" si="0"/>
        <v>0.5</v>
      </c>
      <c r="T4" s="13">
        <f t="shared" si="0"/>
        <v>0.52500000000000002</v>
      </c>
      <c r="U4" s="13">
        <f t="shared" si="0"/>
        <v>0.55000000000000004</v>
      </c>
      <c r="V4" s="13">
        <f t="shared" si="0"/>
        <v>0.57500000000000007</v>
      </c>
      <c r="W4" s="13">
        <f t="shared" si="0"/>
        <v>0.60000000000000009</v>
      </c>
    </row>
    <row r="5" spans="1:23" x14ac:dyDescent="0.25">
      <c r="A5" t="s">
        <v>21</v>
      </c>
      <c r="B5" s="5">
        <f>'Sales Realisation'!B43</f>
        <v>0.4</v>
      </c>
      <c r="C5" s="5">
        <f>'Sales Realisation'!C43</f>
        <v>0.45</v>
      </c>
      <c r="D5" s="5">
        <f>'Sales Realisation'!D43</f>
        <v>0.5</v>
      </c>
      <c r="E5" s="5">
        <f>'Sales Realisation'!E43</f>
        <v>0.52500000000000002</v>
      </c>
      <c r="F5" s="5">
        <f>'Sales Realisation'!F43</f>
        <v>0.55000000000000004</v>
      </c>
      <c r="G5" s="5">
        <f>'Sales Realisation'!G43</f>
        <v>0.57500000000000007</v>
      </c>
      <c r="H5" s="5">
        <f>'Sales Realisation'!H43</f>
        <v>0.60000000000000009</v>
      </c>
      <c r="P5" s="10" t="s">
        <v>357</v>
      </c>
      <c r="Q5" s="29">
        <f t="shared" ref="Q5:W6" si="1">B9</f>
        <v>204.3</v>
      </c>
      <c r="R5" s="29">
        <f t="shared" si="1"/>
        <v>383.16999999999996</v>
      </c>
      <c r="S5" s="29">
        <f t="shared" si="1"/>
        <v>425.91000000000008</v>
      </c>
      <c r="T5" s="29">
        <f t="shared" si="1"/>
        <v>447.29499999999996</v>
      </c>
      <c r="U5" s="29">
        <f t="shared" ca="1" si="1"/>
        <v>474.73002860758874</v>
      </c>
      <c r="V5" s="29">
        <f t="shared" ca="1" si="1"/>
        <v>496.70286645818311</v>
      </c>
      <c r="W5" s="29">
        <f t="shared" ca="1" si="1"/>
        <v>518.76608738342486</v>
      </c>
    </row>
    <row r="6" spans="1:23" x14ac:dyDescent="0.25">
      <c r="A6" s="3" t="s">
        <v>8</v>
      </c>
      <c r="P6" s="10" t="s">
        <v>359</v>
      </c>
      <c r="Q6" s="29">
        <f t="shared" si="1"/>
        <v>8.1720000000000006</v>
      </c>
      <c r="R6" s="29">
        <f t="shared" si="1"/>
        <v>15.326799999999999</v>
      </c>
      <c r="S6" s="29">
        <f t="shared" si="1"/>
        <v>17.036400000000004</v>
      </c>
      <c r="T6" s="29">
        <f t="shared" si="1"/>
        <v>17.8918</v>
      </c>
      <c r="U6" s="29">
        <f t="shared" si="1"/>
        <v>25.137600000000003</v>
      </c>
      <c r="V6" s="29">
        <f t="shared" si="1"/>
        <v>26.713600000000003</v>
      </c>
      <c r="W6" s="29">
        <f t="shared" si="1"/>
        <v>28.29</v>
      </c>
    </row>
    <row r="7" spans="1:23" x14ac:dyDescent="0.25">
      <c r="A7" t="s">
        <v>9</v>
      </c>
      <c r="B7" s="6">
        <f>'Sales Realisation'!B50</f>
        <v>204.3</v>
      </c>
      <c r="C7" s="6">
        <f>'Sales Realisation'!C50</f>
        <v>383.16999999999996</v>
      </c>
      <c r="D7" s="6">
        <f>'Sales Realisation'!D50</f>
        <v>425.91000000000008</v>
      </c>
      <c r="E7" s="6">
        <f>'Sales Realisation'!E50</f>
        <v>447.29499999999996</v>
      </c>
      <c r="F7" s="6">
        <f ca="1">'Sales Realisation'!F50</f>
        <v>474.73002860758874</v>
      </c>
      <c r="G7" s="6">
        <f ca="1">'Sales Realisation'!G50</f>
        <v>496.70286645818311</v>
      </c>
      <c r="H7" s="6">
        <f ca="1">'Sales Realisation'!H50</f>
        <v>518.76608738342486</v>
      </c>
      <c r="P7" s="23" t="s">
        <v>361</v>
      </c>
      <c r="Q7" s="93">
        <f>SUM(Q5:Q6)</f>
        <v>212.47200000000001</v>
      </c>
      <c r="R7" s="93">
        <f t="shared" ref="R7:W7" si="2">SUM(R5:R6)</f>
        <v>398.49679999999995</v>
      </c>
      <c r="S7" s="93">
        <f t="shared" si="2"/>
        <v>442.9464000000001</v>
      </c>
      <c r="T7" s="93">
        <f t="shared" si="2"/>
        <v>465.18679999999995</v>
      </c>
      <c r="U7" s="93">
        <f t="shared" ca="1" si="2"/>
        <v>499.86762860758876</v>
      </c>
      <c r="V7" s="93">
        <f t="shared" ca="1" si="2"/>
        <v>523.41646645818309</v>
      </c>
      <c r="W7" s="93">
        <f t="shared" ca="1" si="2"/>
        <v>547.05608738342482</v>
      </c>
    </row>
    <row r="8" spans="1:23" hidden="1" x14ac:dyDescent="0.25">
      <c r="A8" t="s">
        <v>10</v>
      </c>
      <c r="B8" s="6">
        <v>0</v>
      </c>
      <c r="C8" s="6">
        <v>0</v>
      </c>
      <c r="D8" s="6">
        <v>0</v>
      </c>
      <c r="E8" s="6">
        <v>0</v>
      </c>
      <c r="F8" s="6">
        <v>0</v>
      </c>
      <c r="G8" s="6">
        <v>0</v>
      </c>
      <c r="H8" s="6">
        <v>0</v>
      </c>
      <c r="P8" s="15" t="s">
        <v>362</v>
      </c>
      <c r="Q8" s="43"/>
      <c r="R8" s="43"/>
      <c r="S8" s="43"/>
      <c r="T8" s="43"/>
      <c r="U8" s="46"/>
      <c r="V8" s="46"/>
      <c r="W8" s="46"/>
    </row>
    <row r="9" spans="1:23" x14ac:dyDescent="0.25">
      <c r="A9" t="s">
        <v>11</v>
      </c>
      <c r="B9" s="6">
        <f>B7-B8</f>
        <v>204.3</v>
      </c>
      <c r="C9" s="6">
        <f t="shared" ref="C9:H9" si="3">C7-C8</f>
        <v>383.16999999999996</v>
      </c>
      <c r="D9" s="6">
        <f t="shared" si="3"/>
        <v>425.91000000000008</v>
      </c>
      <c r="E9" s="6">
        <f t="shared" si="3"/>
        <v>447.29499999999996</v>
      </c>
      <c r="F9" s="6">
        <f t="shared" ca="1" si="3"/>
        <v>474.73002860758874</v>
      </c>
      <c r="G9" s="6">
        <f t="shared" ca="1" si="3"/>
        <v>496.70286645818311</v>
      </c>
      <c r="H9" s="6">
        <f t="shared" ca="1" si="3"/>
        <v>518.76608738342486</v>
      </c>
      <c r="P9" s="10" t="s">
        <v>364</v>
      </c>
      <c r="Q9" s="29">
        <f t="shared" ref="Q9:W9" si="4">B13+B14+B23-B24+B25-B26</f>
        <v>114.39999999999999</v>
      </c>
      <c r="R9" s="29">
        <f t="shared" si="4"/>
        <v>228.78625</v>
      </c>
      <c r="S9" s="29">
        <f t="shared" si="4"/>
        <v>254.10249999999999</v>
      </c>
      <c r="T9" s="29">
        <f t="shared" si="4"/>
        <v>266.895625</v>
      </c>
      <c r="U9" s="29">
        <f t="shared" si="4"/>
        <v>268.62562500000001</v>
      </c>
      <c r="V9" s="29">
        <f t="shared" si="4"/>
        <v>268.85562500000009</v>
      </c>
      <c r="W9" s="29">
        <f t="shared" si="4"/>
        <v>269.135625</v>
      </c>
    </row>
    <row r="10" spans="1:23" x14ac:dyDescent="0.25">
      <c r="A10" t="s">
        <v>12</v>
      </c>
      <c r="B10" s="6">
        <f>B9*$I$10</f>
        <v>8.1720000000000006</v>
      </c>
      <c r="C10" s="6">
        <f t="shared" ref="C10:E10" si="5">C9*$I$10</f>
        <v>15.326799999999999</v>
      </c>
      <c r="D10" s="6">
        <f t="shared" si="5"/>
        <v>17.036400000000004</v>
      </c>
      <c r="E10" s="6">
        <f t="shared" si="5"/>
        <v>17.8918</v>
      </c>
      <c r="F10" s="6">
        <f>628.44*I10</f>
        <v>25.137600000000003</v>
      </c>
      <c r="G10" s="6">
        <f>667.84*I10</f>
        <v>26.713600000000003</v>
      </c>
      <c r="H10" s="6">
        <f>707.25*I10</f>
        <v>28.29</v>
      </c>
      <c r="I10" s="5">
        <v>0.04</v>
      </c>
      <c r="P10" s="10" t="s">
        <v>27</v>
      </c>
      <c r="Q10" s="29">
        <f t="shared" ref="Q10:W10" si="6">B17</f>
        <v>19.323333333333334</v>
      </c>
      <c r="R10" s="29">
        <f t="shared" si="6"/>
        <v>23.187999999999999</v>
      </c>
      <c r="S10" s="29">
        <f t="shared" si="6"/>
        <v>23.187999999999999</v>
      </c>
      <c r="T10" s="29">
        <f t="shared" si="6"/>
        <v>23.187999999999999</v>
      </c>
      <c r="U10" s="29">
        <f t="shared" si="6"/>
        <v>23.187999999999999</v>
      </c>
      <c r="V10" s="29">
        <f t="shared" si="6"/>
        <v>23.187999999999999</v>
      </c>
      <c r="W10" s="29">
        <f t="shared" si="6"/>
        <v>23.187999999999999</v>
      </c>
    </row>
    <row r="11" spans="1:23" x14ac:dyDescent="0.25">
      <c r="A11" s="23" t="s">
        <v>13</v>
      </c>
      <c r="B11" s="24">
        <f>B9+B10</f>
        <v>212.47200000000001</v>
      </c>
      <c r="C11" s="24">
        <f t="shared" ref="C11:H11" si="7">C9+C10</f>
        <v>398.49679999999995</v>
      </c>
      <c r="D11" s="24">
        <f t="shared" si="7"/>
        <v>442.9464000000001</v>
      </c>
      <c r="E11" s="24">
        <f t="shared" si="7"/>
        <v>465.18679999999995</v>
      </c>
      <c r="F11" s="24">
        <f t="shared" ca="1" si="7"/>
        <v>499.86762860758876</v>
      </c>
      <c r="G11" s="24">
        <f t="shared" ca="1" si="7"/>
        <v>523.41646645818309</v>
      </c>
      <c r="H11" s="24">
        <f t="shared" ca="1" si="7"/>
        <v>547.05608738342482</v>
      </c>
      <c r="P11" s="10" t="s">
        <v>438</v>
      </c>
      <c r="Q11" s="29">
        <f t="shared" ref="Q11:W11" si="8">B30+B31</f>
        <v>15.2</v>
      </c>
      <c r="R11" s="29">
        <f t="shared" si="8"/>
        <v>16.72</v>
      </c>
      <c r="S11" s="29">
        <f t="shared" si="8"/>
        <v>18.39</v>
      </c>
      <c r="T11" s="29">
        <f t="shared" si="8"/>
        <v>20.23</v>
      </c>
      <c r="U11" s="29">
        <f t="shared" si="8"/>
        <v>20.23</v>
      </c>
      <c r="V11" s="29">
        <f t="shared" si="8"/>
        <v>20.23</v>
      </c>
      <c r="W11" s="29">
        <f t="shared" si="8"/>
        <v>20.23</v>
      </c>
    </row>
    <row r="12" spans="1:23" x14ac:dyDescent="0.25">
      <c r="A12" s="3" t="s">
        <v>22</v>
      </c>
      <c r="P12" s="10" t="s">
        <v>43</v>
      </c>
      <c r="Q12" s="43">
        <f t="shared" ref="Q12:W12" si="9">B35</f>
        <v>0.14000000000000001</v>
      </c>
      <c r="R12" s="43">
        <f t="shared" si="9"/>
        <v>0.14000000000000001</v>
      </c>
      <c r="S12" s="43">
        <f t="shared" si="9"/>
        <v>0.14000000000000001</v>
      </c>
      <c r="T12" s="43">
        <f t="shared" si="9"/>
        <v>0.14000000000000001</v>
      </c>
      <c r="U12" s="43">
        <f t="shared" si="9"/>
        <v>0.14000000000000001</v>
      </c>
      <c r="V12" s="43">
        <f t="shared" si="9"/>
        <v>0.14000000000000001</v>
      </c>
      <c r="W12" s="43">
        <f t="shared" si="9"/>
        <v>0.14000000000000001</v>
      </c>
    </row>
    <row r="13" spans="1:23" x14ac:dyDescent="0.25">
      <c r="A13" s="7" t="s">
        <v>23</v>
      </c>
      <c r="B13" s="6">
        <f>'Raw Material'!B17</f>
        <v>133.9</v>
      </c>
      <c r="C13" s="6">
        <f>'Raw Material'!C17</f>
        <v>225.95625000000001</v>
      </c>
      <c r="D13" s="6">
        <f>'Raw Material'!D17</f>
        <v>251.0625</v>
      </c>
      <c r="E13" s="6">
        <f>'Raw Material'!E17</f>
        <v>263.61562500000002</v>
      </c>
      <c r="F13" s="6">
        <f>E13</f>
        <v>263.61562500000002</v>
      </c>
      <c r="G13" s="6">
        <f t="shared" ref="G13:H13" si="10">F13</f>
        <v>263.61562500000002</v>
      </c>
      <c r="H13" s="6">
        <f t="shared" si="10"/>
        <v>263.61562500000002</v>
      </c>
      <c r="P13" s="10" t="s">
        <v>368</v>
      </c>
      <c r="Q13" s="29">
        <f t="shared" ref="Q13:W13" si="11">B15+B16+B18+B19</f>
        <v>33.515196026666665</v>
      </c>
      <c r="R13" s="29">
        <f t="shared" si="11"/>
        <v>40.654448449999997</v>
      </c>
      <c r="S13" s="29">
        <f t="shared" si="11"/>
        <v>44.866856525000003</v>
      </c>
      <c r="T13" s="29">
        <f t="shared" si="11"/>
        <v>47.626199351249994</v>
      </c>
      <c r="U13" s="29">
        <f t="shared" si="11"/>
        <v>49.726199351249996</v>
      </c>
      <c r="V13" s="29">
        <f t="shared" si="11"/>
        <v>52.036199351249998</v>
      </c>
      <c r="W13" s="29">
        <f t="shared" si="11"/>
        <v>54.566199351249992</v>
      </c>
    </row>
    <row r="14" spans="1:23" x14ac:dyDescent="0.25">
      <c r="A14" t="s">
        <v>24</v>
      </c>
      <c r="B14" s="6">
        <v>4.2</v>
      </c>
      <c r="C14">
        <v>4.41</v>
      </c>
      <c r="D14">
        <v>4.63</v>
      </c>
      <c r="E14">
        <v>4.8600000000000003</v>
      </c>
      <c r="F14">
        <v>5.1100000000000003</v>
      </c>
      <c r="G14">
        <v>5.36</v>
      </c>
      <c r="H14">
        <v>5.63</v>
      </c>
      <c r="J14" s="34">
        <f t="shared" ref="J14:O15" si="12">C14/B14-1</f>
        <v>5.0000000000000044E-2</v>
      </c>
      <c r="K14" s="34">
        <f t="shared" si="12"/>
        <v>4.9886621315192725E-2</v>
      </c>
      <c r="L14" s="34">
        <f t="shared" si="12"/>
        <v>4.9676025917926747E-2</v>
      </c>
      <c r="M14" s="34">
        <f t="shared" si="12"/>
        <v>5.1440329218106928E-2</v>
      </c>
      <c r="N14" s="34">
        <f t="shared" si="12"/>
        <v>4.8923679060665304E-2</v>
      </c>
      <c r="O14" s="34">
        <f t="shared" si="12"/>
        <v>5.0373134328358216E-2</v>
      </c>
      <c r="P14" s="25" t="s">
        <v>370</v>
      </c>
      <c r="Q14" s="94">
        <f t="shared" ref="Q14:W14" si="13">SUM(Q9:Q13)</f>
        <v>182.57852935999998</v>
      </c>
      <c r="R14" s="94">
        <f t="shared" si="13"/>
        <v>309.48869845000002</v>
      </c>
      <c r="S14" s="94">
        <f t="shared" si="13"/>
        <v>340.68735652499998</v>
      </c>
      <c r="T14" s="94">
        <f t="shared" si="13"/>
        <v>358.07982435124995</v>
      </c>
      <c r="U14" s="94">
        <f t="shared" si="13"/>
        <v>361.90982435124999</v>
      </c>
      <c r="V14" s="94">
        <f t="shared" si="13"/>
        <v>364.44982435125007</v>
      </c>
      <c r="W14" s="94">
        <f t="shared" si="13"/>
        <v>367.25982435125002</v>
      </c>
    </row>
    <row r="15" spans="1:23" x14ac:dyDescent="0.25">
      <c r="A15" s="7" t="s">
        <v>25</v>
      </c>
      <c r="B15">
        <v>1.5</v>
      </c>
      <c r="C15">
        <v>1.65</v>
      </c>
      <c r="D15">
        <v>1.82</v>
      </c>
      <c r="E15" s="6">
        <v>2</v>
      </c>
      <c r="F15" s="6">
        <v>2</v>
      </c>
      <c r="G15" s="6">
        <v>2</v>
      </c>
      <c r="H15" s="6">
        <v>2</v>
      </c>
      <c r="J15" s="34">
        <f t="shared" si="12"/>
        <v>9.9999999999999867E-2</v>
      </c>
      <c r="K15" s="34">
        <f t="shared" si="12"/>
        <v>0.10303030303030303</v>
      </c>
      <c r="L15" s="34">
        <f t="shared" si="12"/>
        <v>9.8901098901098772E-2</v>
      </c>
      <c r="M15" s="34">
        <f t="shared" si="12"/>
        <v>0</v>
      </c>
      <c r="N15" s="34">
        <f t="shared" si="12"/>
        <v>0</v>
      </c>
      <c r="O15" s="34">
        <f t="shared" si="12"/>
        <v>0</v>
      </c>
      <c r="P15" s="23" t="s">
        <v>321</v>
      </c>
      <c r="Q15" s="93">
        <f t="shared" ref="Q15:W15" si="14">Q7-Q14</f>
        <v>29.893470640000032</v>
      </c>
      <c r="R15" s="93">
        <f t="shared" si="14"/>
        <v>89.008101549999935</v>
      </c>
      <c r="S15" s="93">
        <f t="shared" si="14"/>
        <v>102.25904347500011</v>
      </c>
      <c r="T15" s="93">
        <f t="shared" si="14"/>
        <v>107.10697564874999</v>
      </c>
      <c r="U15" s="93">
        <f t="shared" ca="1" si="14"/>
        <v>137.95780425633876</v>
      </c>
      <c r="V15" s="93">
        <f t="shared" ca="1" si="14"/>
        <v>158.96664210693302</v>
      </c>
      <c r="W15" s="93">
        <f t="shared" ca="1" si="14"/>
        <v>179.79626303217481</v>
      </c>
    </row>
    <row r="16" spans="1:23" x14ac:dyDescent="0.25">
      <c r="A16" t="s">
        <v>26</v>
      </c>
      <c r="B16" s="6">
        <f>'Power Expenses'!B23</f>
        <v>9.7551960266666651</v>
      </c>
      <c r="C16" s="6">
        <f>'Power Expenses'!C23</f>
        <v>15.16444845</v>
      </c>
      <c r="D16" s="6">
        <f>'Power Expenses'!D23</f>
        <v>16.826856525</v>
      </c>
      <c r="E16" s="6">
        <f>'Power Expenses'!E23</f>
        <v>17.506199351249997</v>
      </c>
      <c r="F16" s="6">
        <f>E16</f>
        <v>17.506199351249997</v>
      </c>
      <c r="G16" s="6">
        <f t="shared" ref="G16:H16" si="15">F16</f>
        <v>17.506199351249997</v>
      </c>
      <c r="H16" s="6">
        <f t="shared" si="15"/>
        <v>17.506199351249997</v>
      </c>
      <c r="P16" s="10" t="s">
        <v>373</v>
      </c>
      <c r="Q16" s="29">
        <f t="shared" ref="Q16:W16" si="16">B20</f>
        <v>25.633333333333336</v>
      </c>
      <c r="R16" s="29">
        <f t="shared" si="16"/>
        <v>38.451383999999997</v>
      </c>
      <c r="S16" s="29">
        <f t="shared" si="16"/>
        <v>38.451383999999997</v>
      </c>
      <c r="T16" s="29">
        <f t="shared" si="16"/>
        <v>38.451383999999997</v>
      </c>
      <c r="U16" s="29">
        <f t="shared" si="16"/>
        <v>38.451383999999997</v>
      </c>
      <c r="V16" s="29">
        <f t="shared" si="16"/>
        <v>38.451383999999997</v>
      </c>
      <c r="W16" s="29">
        <f t="shared" si="16"/>
        <v>38.451383999999997</v>
      </c>
    </row>
    <row r="17" spans="1:23" x14ac:dyDescent="0.25">
      <c r="A17" t="s">
        <v>27</v>
      </c>
      <c r="B17" s="88">
        <f>'Salary &amp; Wages'!E18*10/12</f>
        <v>19.323333333333334</v>
      </c>
      <c r="C17" s="88">
        <f>'Salary &amp; Wages'!E18</f>
        <v>23.187999999999999</v>
      </c>
      <c r="D17" s="88">
        <f t="shared" ref="D17:H17" si="17">C17</f>
        <v>23.187999999999999</v>
      </c>
      <c r="E17" s="88">
        <f t="shared" si="17"/>
        <v>23.187999999999999</v>
      </c>
      <c r="F17" s="88">
        <f t="shared" si="17"/>
        <v>23.187999999999999</v>
      </c>
      <c r="G17" s="88">
        <f t="shared" si="17"/>
        <v>23.187999999999999</v>
      </c>
      <c r="H17" s="88">
        <f t="shared" si="17"/>
        <v>23.187999999999999</v>
      </c>
      <c r="J17" s="34" t="s">
        <v>442</v>
      </c>
      <c r="P17" s="23" t="s">
        <v>375</v>
      </c>
      <c r="Q17" s="47">
        <f t="shared" ref="Q17:W17" si="18">Q15-Q16</f>
        <v>4.2601373066666959</v>
      </c>
      <c r="R17" s="47">
        <f t="shared" si="18"/>
        <v>50.556717549999938</v>
      </c>
      <c r="S17" s="47">
        <f t="shared" si="18"/>
        <v>63.807659475000115</v>
      </c>
      <c r="T17" s="47">
        <f t="shared" si="18"/>
        <v>68.655591648750004</v>
      </c>
      <c r="U17" s="47">
        <f t="shared" ca="1" si="18"/>
        <v>99.506420256338771</v>
      </c>
      <c r="V17" s="47">
        <f t="shared" ca="1" si="18"/>
        <v>120.51525810693303</v>
      </c>
      <c r="W17" s="47">
        <f t="shared" ca="1" si="18"/>
        <v>141.34487903217482</v>
      </c>
    </row>
    <row r="18" spans="1:23" x14ac:dyDescent="0.25">
      <c r="A18" t="s">
        <v>28</v>
      </c>
      <c r="B18">
        <v>6.51</v>
      </c>
      <c r="C18">
        <v>6.51</v>
      </c>
      <c r="D18">
        <v>7.16</v>
      </c>
      <c r="E18">
        <v>7.16</v>
      </c>
      <c r="F18">
        <v>7.16</v>
      </c>
      <c r="G18">
        <v>7.16</v>
      </c>
      <c r="H18">
        <v>7.16</v>
      </c>
      <c r="J18" s="34">
        <f t="shared" ref="J18:O19" si="19">C18/B18-1</f>
        <v>0</v>
      </c>
      <c r="K18" s="34">
        <f t="shared" si="19"/>
        <v>9.9846390168970789E-2</v>
      </c>
      <c r="L18" s="34">
        <f t="shared" si="19"/>
        <v>0</v>
      </c>
      <c r="M18" s="34">
        <f t="shared" si="19"/>
        <v>0</v>
      </c>
      <c r="N18" s="34">
        <f t="shared" si="19"/>
        <v>0</v>
      </c>
      <c r="O18" s="34">
        <f t="shared" si="19"/>
        <v>0</v>
      </c>
      <c r="P18" s="10" t="s">
        <v>376</v>
      </c>
      <c r="Q18" s="29">
        <f t="shared" ref="Q18:W18" si="20">B33+B34</f>
        <v>4.25</v>
      </c>
      <c r="R18" s="29">
        <f t="shared" si="20"/>
        <v>21.624944387917754</v>
      </c>
      <c r="S18" s="29">
        <f t="shared" si="20"/>
        <v>19.103016061633596</v>
      </c>
      <c r="T18" s="29">
        <f t="shared" si="20"/>
        <v>16.359793665111074</v>
      </c>
      <c r="U18" s="29">
        <f t="shared" si="20"/>
        <v>13.375859094745774</v>
      </c>
      <c r="V18" s="29">
        <f t="shared" si="20"/>
        <v>10.130090347921524</v>
      </c>
      <c r="W18" s="29">
        <f t="shared" si="20"/>
        <v>6.5995120093450961</v>
      </c>
    </row>
    <row r="19" spans="1:23" x14ac:dyDescent="0.25">
      <c r="A19" t="s">
        <v>29</v>
      </c>
      <c r="B19">
        <v>15.75</v>
      </c>
      <c r="C19">
        <v>17.329999999999998</v>
      </c>
      <c r="D19">
        <v>19.059999999999999</v>
      </c>
      <c r="E19">
        <v>20.96</v>
      </c>
      <c r="F19">
        <v>23.06</v>
      </c>
      <c r="G19">
        <v>25.37</v>
      </c>
      <c r="H19" s="6">
        <v>27.9</v>
      </c>
      <c r="J19" s="34">
        <f t="shared" si="19"/>
        <v>0.10031746031746014</v>
      </c>
      <c r="K19" s="34">
        <f t="shared" si="19"/>
        <v>9.9826889786497341E-2</v>
      </c>
      <c r="L19" s="34">
        <f t="shared" si="19"/>
        <v>9.9685204616999146E-2</v>
      </c>
      <c r="M19" s="34">
        <f t="shared" si="19"/>
        <v>0.10019083969465647</v>
      </c>
      <c r="N19" s="34">
        <f t="shared" si="19"/>
        <v>0.1001734605377278</v>
      </c>
      <c r="O19" s="34">
        <f t="shared" si="19"/>
        <v>9.9724083563263566E-2</v>
      </c>
      <c r="Q19" s="29"/>
      <c r="R19" s="29"/>
      <c r="S19" s="29"/>
      <c r="T19" s="29"/>
      <c r="U19" s="46"/>
      <c r="V19" s="46"/>
      <c r="W19" s="46"/>
    </row>
    <row r="20" spans="1:23" x14ac:dyDescent="0.25">
      <c r="A20" t="s">
        <v>30</v>
      </c>
      <c r="B20" s="6">
        <f>K3</f>
        <v>25.633333333333336</v>
      </c>
      <c r="C20" s="6">
        <f>Depreciation!D20</f>
        <v>38.451383999999997</v>
      </c>
      <c r="D20" s="6">
        <f>C20</f>
        <v>38.451383999999997</v>
      </c>
      <c r="E20" s="6">
        <f t="shared" ref="E20:H20" si="21">D20</f>
        <v>38.451383999999997</v>
      </c>
      <c r="F20" s="6">
        <f t="shared" si="21"/>
        <v>38.451383999999997</v>
      </c>
      <c r="G20" s="6">
        <f t="shared" si="21"/>
        <v>38.451383999999997</v>
      </c>
      <c r="H20" s="6">
        <f t="shared" si="21"/>
        <v>38.451383999999997</v>
      </c>
      <c r="K20" s="34"/>
      <c r="L20" s="34"/>
      <c r="M20" s="34"/>
      <c r="N20" s="34"/>
      <c r="O20" s="34"/>
      <c r="P20" s="23" t="s">
        <v>380</v>
      </c>
      <c r="Q20" s="47">
        <f>Q17-Q18</f>
        <v>1.0137306666695878E-2</v>
      </c>
      <c r="R20" s="47">
        <f t="shared" ref="R20:W20" si="22">R17-R18</f>
        <v>28.931773162082184</v>
      </c>
      <c r="S20" s="47">
        <f t="shared" si="22"/>
        <v>44.704643413366519</v>
      </c>
      <c r="T20" s="47">
        <f t="shared" si="22"/>
        <v>52.295797983638934</v>
      </c>
      <c r="U20" s="47">
        <f t="shared" ca="1" si="22"/>
        <v>86.130561161592993</v>
      </c>
      <c r="V20" s="47">
        <f t="shared" ca="1" si="22"/>
        <v>110.38516775901151</v>
      </c>
      <c r="W20" s="47">
        <f t="shared" ca="1" si="22"/>
        <v>134.74536702282973</v>
      </c>
    </row>
    <row r="21" spans="1:23" hidden="1" x14ac:dyDescent="0.25">
      <c r="A21" s="23" t="s">
        <v>31</v>
      </c>
      <c r="B21" s="24">
        <f t="shared" ref="B21:H21" si="23">SUM(B13:B20)</f>
        <v>216.57186269333329</v>
      </c>
      <c r="C21" s="24">
        <f t="shared" si="23"/>
        <v>332.66008245</v>
      </c>
      <c r="D21" s="24">
        <f t="shared" si="23"/>
        <v>362.19874052500001</v>
      </c>
      <c r="E21" s="24">
        <f t="shared" si="23"/>
        <v>377.74120835125007</v>
      </c>
      <c r="F21" s="24">
        <f t="shared" si="23"/>
        <v>380.09120835125009</v>
      </c>
      <c r="G21" s="24">
        <f t="shared" si="23"/>
        <v>382.65120835125009</v>
      </c>
      <c r="H21" s="24">
        <f t="shared" si="23"/>
        <v>385.45120835125005</v>
      </c>
      <c r="P21" s="28" t="s">
        <v>382</v>
      </c>
      <c r="Q21" s="43"/>
      <c r="R21" s="43"/>
      <c r="S21" s="43"/>
      <c r="T21" s="43"/>
      <c r="U21" s="46"/>
      <c r="V21" s="46"/>
      <c r="W21" s="46"/>
    </row>
    <row r="22" spans="1:23" x14ac:dyDescent="0.25">
      <c r="P22" s="28" t="s">
        <v>384</v>
      </c>
      <c r="Q22" s="29">
        <f t="shared" ref="Q22:W22" si="24">B37</f>
        <v>0</v>
      </c>
      <c r="R22" s="29">
        <f t="shared" si="24"/>
        <v>7.6698003915971595</v>
      </c>
      <c r="S22" s="29">
        <f t="shared" si="24"/>
        <v>14.345313633490141</v>
      </c>
      <c r="T22" s="29">
        <f t="shared" si="24"/>
        <v>18.249209826243487</v>
      </c>
      <c r="U22" s="29">
        <f t="shared" ca="1" si="24"/>
        <v>29.954905990709928</v>
      </c>
      <c r="V22" s="29">
        <f t="shared" ca="1" si="24"/>
        <v>38.533801001440622</v>
      </c>
      <c r="W22" s="29">
        <f t="shared" ca="1" si="24"/>
        <v>46.978268558540535</v>
      </c>
    </row>
    <row r="23" spans="1:23" x14ac:dyDescent="0.25">
      <c r="A23" t="s">
        <v>32</v>
      </c>
      <c r="B23" s="6">
        <v>0</v>
      </c>
      <c r="C23">
        <v>4.0599999999999996</v>
      </c>
      <c r="D23">
        <v>4.3499999999999996</v>
      </c>
      <c r="E23">
        <v>4.6500000000000004</v>
      </c>
      <c r="F23">
        <v>4.95</v>
      </c>
      <c r="G23">
        <v>4.95</v>
      </c>
      <c r="H23">
        <v>4.96</v>
      </c>
      <c r="J23" s="34"/>
      <c r="K23" s="34">
        <f t="shared" ref="K23:O26" si="25">D23/C23-1</f>
        <v>7.1428571428571397E-2</v>
      </c>
      <c r="L23" s="34">
        <f t="shared" si="25"/>
        <v>6.8965517241379448E-2</v>
      </c>
      <c r="M23" s="34">
        <f t="shared" si="25"/>
        <v>6.4516129032258007E-2</v>
      </c>
      <c r="N23" s="34">
        <f t="shared" si="25"/>
        <v>0</v>
      </c>
      <c r="O23" s="34">
        <f t="shared" si="25"/>
        <v>2.0202020202020332E-3</v>
      </c>
      <c r="P23" s="23" t="s">
        <v>386</v>
      </c>
      <c r="Q23" s="47">
        <f>Q20-Q22</f>
        <v>1.0137306666695878E-2</v>
      </c>
      <c r="R23" s="47">
        <f t="shared" ref="R23:W23" si="26">R20-R22</f>
        <v>21.261972770485023</v>
      </c>
      <c r="S23" s="47">
        <f t="shared" si="26"/>
        <v>30.359329779876376</v>
      </c>
      <c r="T23" s="47">
        <f t="shared" si="26"/>
        <v>34.046588157395448</v>
      </c>
      <c r="U23" s="47">
        <f t="shared" ca="1" si="26"/>
        <v>56.175655170883061</v>
      </c>
      <c r="V23" s="47">
        <f t="shared" ca="1" si="26"/>
        <v>71.851366757570887</v>
      </c>
      <c r="W23" s="47">
        <f t="shared" ca="1" si="26"/>
        <v>87.767098464289191</v>
      </c>
    </row>
    <row r="24" spans="1:23" x14ac:dyDescent="0.25">
      <c r="A24" t="s">
        <v>34</v>
      </c>
      <c r="B24">
        <v>4.0599999999999996</v>
      </c>
      <c r="C24">
        <v>4.3499999999999996</v>
      </c>
      <c r="D24">
        <v>4.6500000000000004</v>
      </c>
      <c r="E24">
        <v>4.95</v>
      </c>
      <c r="F24">
        <v>4.95</v>
      </c>
      <c r="G24">
        <v>4.96</v>
      </c>
      <c r="H24">
        <v>4.96</v>
      </c>
      <c r="J24" s="34">
        <f>C24/B24-1</f>
        <v>7.1428571428571397E-2</v>
      </c>
      <c r="K24" s="34">
        <f t="shared" si="25"/>
        <v>6.8965517241379448E-2</v>
      </c>
      <c r="L24" s="34">
        <f t="shared" si="25"/>
        <v>6.4516129032258007E-2</v>
      </c>
      <c r="M24" s="34">
        <f t="shared" si="25"/>
        <v>0</v>
      </c>
      <c r="N24" s="34">
        <f t="shared" si="25"/>
        <v>2.0202020202020332E-3</v>
      </c>
      <c r="O24" s="34">
        <f t="shared" si="25"/>
        <v>0</v>
      </c>
      <c r="P24" s="30"/>
      <c r="Q24" s="95"/>
      <c r="R24" s="95"/>
      <c r="S24" s="95"/>
      <c r="T24" s="95"/>
      <c r="U24" s="95"/>
      <c r="V24" s="95"/>
      <c r="W24" s="95"/>
    </row>
    <row r="25" spans="1:23" x14ac:dyDescent="0.25">
      <c r="A25" t="s">
        <v>35</v>
      </c>
      <c r="B25" s="6">
        <v>0</v>
      </c>
      <c r="C25">
        <v>19.64</v>
      </c>
      <c r="D25">
        <v>20.93</v>
      </c>
      <c r="E25">
        <v>22.22</v>
      </c>
      <c r="F25">
        <v>23.5</v>
      </c>
      <c r="G25">
        <v>23.6</v>
      </c>
      <c r="H25">
        <v>23.71</v>
      </c>
      <c r="K25" s="34">
        <f t="shared" si="25"/>
        <v>6.5682281059063152E-2</v>
      </c>
      <c r="L25" s="34">
        <f t="shared" si="25"/>
        <v>6.1634018155757309E-2</v>
      </c>
      <c r="M25" s="34">
        <f t="shared" si="25"/>
        <v>5.7605760576057596E-2</v>
      </c>
      <c r="N25" s="34">
        <f t="shared" si="25"/>
        <v>4.2553191489362874E-3</v>
      </c>
      <c r="O25" s="34">
        <f t="shared" si="25"/>
        <v>4.6610169491525522E-3</v>
      </c>
      <c r="P25" s="32" t="s">
        <v>388</v>
      </c>
      <c r="Q25" s="96">
        <f>Q15/Q7</f>
        <v>0.14069369441620558</v>
      </c>
      <c r="R25" s="96">
        <f t="shared" ref="R25:W25" si="27">R15/R7</f>
        <v>0.22335963939986456</v>
      </c>
      <c r="S25" s="96">
        <f t="shared" si="27"/>
        <v>0.23086098786444612</v>
      </c>
      <c r="T25" s="96">
        <f t="shared" si="27"/>
        <v>0.23024508788458745</v>
      </c>
      <c r="U25" s="96">
        <f t="shared" ca="1" si="27"/>
        <v>0.27598867452295017</v>
      </c>
      <c r="V25" s="96">
        <f t="shared" ca="1" si="27"/>
        <v>0.30370966963003104</v>
      </c>
      <c r="W25" s="96">
        <f t="shared" ca="1" si="27"/>
        <v>0.32866147946939456</v>
      </c>
    </row>
    <row r="26" spans="1:23" x14ac:dyDescent="0.25">
      <c r="A26" t="s">
        <v>33</v>
      </c>
      <c r="B26">
        <v>19.64</v>
      </c>
      <c r="C26">
        <v>20.93</v>
      </c>
      <c r="D26">
        <v>22.22</v>
      </c>
      <c r="E26">
        <v>23.5</v>
      </c>
      <c r="F26">
        <v>23.6</v>
      </c>
      <c r="G26">
        <v>23.71</v>
      </c>
      <c r="H26">
        <v>23.82</v>
      </c>
      <c r="J26" s="34">
        <f>C26/B26-1</f>
        <v>6.5682281059063152E-2</v>
      </c>
      <c r="K26" s="34">
        <f t="shared" si="25"/>
        <v>6.1634018155757309E-2</v>
      </c>
      <c r="L26" s="34">
        <f t="shared" si="25"/>
        <v>5.7605760576057596E-2</v>
      </c>
      <c r="M26" s="34">
        <f t="shared" si="25"/>
        <v>4.2553191489362874E-3</v>
      </c>
      <c r="N26" s="34">
        <f t="shared" si="25"/>
        <v>4.6610169491525522E-3</v>
      </c>
      <c r="O26" s="34">
        <f t="shared" si="25"/>
        <v>4.6393926613244041E-3</v>
      </c>
      <c r="P26" s="32" t="s">
        <v>390</v>
      </c>
      <c r="Q26" s="96">
        <f>Q17/Q7</f>
        <v>2.0050346900611353E-2</v>
      </c>
      <c r="R26" s="96">
        <f t="shared" ref="R26:W26" si="28">R17/R7</f>
        <v>0.12686856594582427</v>
      </c>
      <c r="S26" s="96">
        <f t="shared" si="28"/>
        <v>0.14405277811265674</v>
      </c>
      <c r="T26" s="96">
        <f t="shared" si="28"/>
        <v>0.14758714488190552</v>
      </c>
      <c r="U26" s="96">
        <f t="shared" ca="1" si="28"/>
        <v>0.19906554167854371</v>
      </c>
      <c r="V26" s="96">
        <f t="shared" ca="1" si="28"/>
        <v>0.23024735718084494</v>
      </c>
      <c r="W26" s="96">
        <f t="shared" ca="1" si="28"/>
        <v>0.25837365179177313</v>
      </c>
    </row>
    <row r="27" spans="1:23" x14ac:dyDescent="0.25">
      <c r="A27" s="3" t="s">
        <v>36</v>
      </c>
      <c r="B27" s="8">
        <f t="shared" ref="B27:H27" si="29">B21+B23-B24+B25-B26</f>
        <v>192.8718626933333</v>
      </c>
      <c r="C27" s="8">
        <f t="shared" si="29"/>
        <v>331.08008244999996</v>
      </c>
      <c r="D27" s="8">
        <f t="shared" si="29"/>
        <v>360.60874052500003</v>
      </c>
      <c r="E27" s="8">
        <f t="shared" si="29"/>
        <v>376.16120835125002</v>
      </c>
      <c r="F27" s="8">
        <f t="shared" si="29"/>
        <v>379.99120835125007</v>
      </c>
      <c r="G27" s="8">
        <f t="shared" si="29"/>
        <v>382.53120835125014</v>
      </c>
      <c r="H27" s="8">
        <f t="shared" si="29"/>
        <v>385.34120835125003</v>
      </c>
      <c r="P27" s="32" t="s">
        <v>392</v>
      </c>
      <c r="Q27" s="96">
        <f>Q23/Q7</f>
        <v>4.7711259209194044E-5</v>
      </c>
      <c r="R27" s="96">
        <f t="shared" ref="R27:W27" si="30">R23/R7</f>
        <v>5.3355441676031089E-2</v>
      </c>
      <c r="S27" s="96">
        <f t="shared" si="30"/>
        <v>6.8539511281447071E-2</v>
      </c>
      <c r="T27" s="96">
        <f t="shared" si="30"/>
        <v>7.3189067611968889E-2</v>
      </c>
      <c r="U27" s="96">
        <f t="shared" ca="1" si="30"/>
        <v>0.11238106241719176</v>
      </c>
      <c r="V27" s="96">
        <f t="shared" ca="1" si="30"/>
        <v>0.1372737989000796</v>
      </c>
      <c r="W27" s="96">
        <f t="shared" ca="1" si="30"/>
        <v>0.16043528348999858</v>
      </c>
    </row>
    <row r="28" spans="1:23" x14ac:dyDescent="0.25">
      <c r="P28" s="32" t="s">
        <v>394</v>
      </c>
      <c r="Q28" s="96"/>
      <c r="R28" s="96">
        <f>R7/Q7-1</f>
        <v>0.87552618697993112</v>
      </c>
      <c r="S28" s="96">
        <f t="shared" ref="S28:W28" si="31">S7/R7-1</f>
        <v>0.11154317926768842</v>
      </c>
      <c r="T28" s="96">
        <f t="shared" si="31"/>
        <v>5.0210138292127171E-2</v>
      </c>
      <c r="U28" s="96">
        <f t="shared" ca="1" si="31"/>
        <v>7.4552477859622934E-2</v>
      </c>
      <c r="V28" s="96">
        <f t="shared" ca="1" si="31"/>
        <v>4.7110147772903455E-2</v>
      </c>
      <c r="W28" s="96">
        <f t="shared" ca="1" si="31"/>
        <v>4.5164075721966901E-2</v>
      </c>
    </row>
    <row r="29" spans="1:23" x14ac:dyDescent="0.25">
      <c r="A29" s="23" t="s">
        <v>37</v>
      </c>
      <c r="B29" s="24">
        <f t="shared" ref="B29:H29" si="32">B11-B27</f>
        <v>19.60013730666671</v>
      </c>
      <c r="C29" s="24">
        <f t="shared" si="32"/>
        <v>67.416717549999987</v>
      </c>
      <c r="D29" s="24">
        <f t="shared" si="32"/>
        <v>82.337659475000066</v>
      </c>
      <c r="E29" s="24">
        <f t="shared" si="32"/>
        <v>89.025591648749923</v>
      </c>
      <c r="F29" s="24">
        <f t="shared" ca="1" si="32"/>
        <v>119.87642025633869</v>
      </c>
      <c r="G29" s="24">
        <f t="shared" ca="1" si="32"/>
        <v>140.88525810693295</v>
      </c>
      <c r="H29" s="24">
        <f t="shared" ca="1" si="32"/>
        <v>161.71487903217479</v>
      </c>
      <c r="P29" s="104" t="s">
        <v>545</v>
      </c>
      <c r="Q29" s="9">
        <f ca="1">AVERAGE(Q25:W25)</f>
        <v>0.24764560474106848</v>
      </c>
    </row>
    <row r="30" spans="1:23" x14ac:dyDescent="0.25">
      <c r="A30" t="s">
        <v>38</v>
      </c>
      <c r="B30">
        <v>8.4</v>
      </c>
      <c r="C30">
        <v>9.24</v>
      </c>
      <c r="D30">
        <v>10.16</v>
      </c>
      <c r="E30">
        <v>11.18</v>
      </c>
      <c r="F30">
        <v>11.18</v>
      </c>
      <c r="G30">
        <v>11.18</v>
      </c>
      <c r="H30">
        <v>11.18</v>
      </c>
      <c r="P30" s="104" t="s">
        <v>546</v>
      </c>
      <c r="Q30" s="9">
        <f ca="1">AVERAGE(Q26:W26)</f>
        <v>0.16089219807030855</v>
      </c>
    </row>
    <row r="31" spans="1:23" x14ac:dyDescent="0.25">
      <c r="A31" t="s">
        <v>39</v>
      </c>
      <c r="B31">
        <v>6.8</v>
      </c>
      <c r="C31">
        <v>7.48</v>
      </c>
      <c r="D31">
        <v>8.23</v>
      </c>
      <c r="E31">
        <v>9.0500000000000007</v>
      </c>
      <c r="F31">
        <v>9.0500000000000007</v>
      </c>
      <c r="G31">
        <v>9.0500000000000007</v>
      </c>
      <c r="H31">
        <v>9.0500000000000007</v>
      </c>
      <c r="P31" s="104" t="s">
        <v>392</v>
      </c>
      <c r="Q31" s="9">
        <f ca="1">AVERAGE(Q27:W27)</f>
        <v>8.6460268090846601E-2</v>
      </c>
    </row>
    <row r="33" spans="1:8" x14ac:dyDescent="0.25">
      <c r="A33" t="s">
        <v>40</v>
      </c>
      <c r="B33" s="6">
        <v>0</v>
      </c>
      <c r="C33" s="6">
        <f>'Amortization Schedule'!M12</f>
        <v>17.374944387917754</v>
      </c>
      <c r="D33" s="6">
        <f>'Amortization Schedule'!M17</f>
        <v>14.853016061633596</v>
      </c>
      <c r="E33" s="6">
        <f>'Amortization Schedule'!M22</f>
        <v>12.109793665111074</v>
      </c>
      <c r="F33" s="6">
        <f>'Amortization Schedule'!M27</f>
        <v>9.1258590947457741</v>
      </c>
      <c r="G33" s="6">
        <f>'Amortization Schedule'!M32</f>
        <v>5.8800903479215227</v>
      </c>
      <c r="H33" s="6">
        <f>'Amortization Schedule'!M37</f>
        <v>2.3495120093450965</v>
      </c>
    </row>
    <row r="34" spans="1:8" x14ac:dyDescent="0.25">
      <c r="A34" t="s">
        <v>41</v>
      </c>
      <c r="B34">
        <v>4.25</v>
      </c>
      <c r="C34">
        <v>4.25</v>
      </c>
      <c r="D34">
        <v>4.25</v>
      </c>
      <c r="E34">
        <v>4.25</v>
      </c>
      <c r="F34">
        <v>4.25</v>
      </c>
      <c r="G34">
        <v>4.25</v>
      </c>
      <c r="H34">
        <v>4.25</v>
      </c>
    </row>
    <row r="35" spans="1:8" x14ac:dyDescent="0.25">
      <c r="A35" t="s">
        <v>43</v>
      </c>
      <c r="B35">
        <v>0.14000000000000001</v>
      </c>
      <c r="C35">
        <v>0.14000000000000001</v>
      </c>
      <c r="D35">
        <v>0.14000000000000001</v>
      </c>
      <c r="E35">
        <v>0.14000000000000001</v>
      </c>
      <c r="F35">
        <v>0.14000000000000001</v>
      </c>
      <c r="G35">
        <v>0.14000000000000001</v>
      </c>
      <c r="H35">
        <v>0.14000000000000001</v>
      </c>
    </row>
    <row r="36" spans="1:8" x14ac:dyDescent="0.25">
      <c r="A36" s="23" t="s">
        <v>42</v>
      </c>
      <c r="B36" s="24">
        <f t="shared" ref="B36:H36" si="33">B29-B30-B31-B33-B34-B35</f>
        <v>1.0137306666709756E-2</v>
      </c>
      <c r="C36" s="24">
        <f t="shared" si="33"/>
        <v>28.931773162082237</v>
      </c>
      <c r="D36" s="24">
        <f t="shared" si="33"/>
        <v>44.704643413366469</v>
      </c>
      <c r="E36" s="24">
        <f t="shared" si="33"/>
        <v>52.295797983638849</v>
      </c>
      <c r="F36" s="24">
        <f t="shared" ca="1" si="33"/>
        <v>86.130561161592908</v>
      </c>
      <c r="G36" s="24">
        <f t="shared" ca="1" si="33"/>
        <v>110.38516775901142</v>
      </c>
      <c r="H36" s="24">
        <f t="shared" ca="1" si="33"/>
        <v>134.7453670228297</v>
      </c>
    </row>
    <row r="37" spans="1:8" x14ac:dyDescent="0.25">
      <c r="A37" t="s">
        <v>44</v>
      </c>
      <c r="B37" s="6">
        <f>Tax!B15</f>
        <v>0</v>
      </c>
      <c r="C37" s="6">
        <f>Tax!C15</f>
        <v>7.6698003915971595</v>
      </c>
      <c r="D37" s="6">
        <f>Tax!D15</f>
        <v>14.345313633490141</v>
      </c>
      <c r="E37" s="6">
        <f>Tax!E15</f>
        <v>18.249209826243487</v>
      </c>
      <c r="F37" s="6">
        <f ca="1">Tax!F15</f>
        <v>29.954905990709928</v>
      </c>
      <c r="G37" s="6">
        <f ca="1">Tax!G15</f>
        <v>38.533801001440622</v>
      </c>
      <c r="H37" s="6">
        <f ca="1">Tax!H15</f>
        <v>46.978268558540535</v>
      </c>
    </row>
    <row r="38" spans="1:8" x14ac:dyDescent="0.25">
      <c r="A38" s="23" t="s">
        <v>45</v>
      </c>
      <c r="B38" s="24">
        <f t="shared" ref="B38:H38" si="34">B36-B37</f>
        <v>1.0137306666709756E-2</v>
      </c>
      <c r="C38" s="24">
        <f t="shared" si="34"/>
        <v>21.261972770485077</v>
      </c>
      <c r="D38" s="24">
        <f t="shared" si="34"/>
        <v>30.359329779876326</v>
      </c>
      <c r="E38" s="24">
        <f t="shared" si="34"/>
        <v>34.046588157395362</v>
      </c>
      <c r="F38" s="24">
        <f t="shared" ca="1" si="34"/>
        <v>56.175655170882976</v>
      </c>
      <c r="G38" s="24">
        <f t="shared" ca="1" si="34"/>
        <v>71.851366757570801</v>
      </c>
      <c r="H38" s="24">
        <f t="shared" ca="1" si="34"/>
        <v>87.767098464289163</v>
      </c>
    </row>
    <row r="39" spans="1:8" x14ac:dyDescent="0.25">
      <c r="A39" t="s">
        <v>46</v>
      </c>
      <c r="B39" s="6">
        <f t="shared" ref="B39:H39" si="35">B20</f>
        <v>25.633333333333336</v>
      </c>
      <c r="C39" s="6">
        <f t="shared" si="35"/>
        <v>38.451383999999997</v>
      </c>
      <c r="D39" s="6">
        <f t="shared" si="35"/>
        <v>38.451383999999997</v>
      </c>
      <c r="E39" s="6">
        <f t="shared" si="35"/>
        <v>38.451383999999997</v>
      </c>
      <c r="F39" s="6">
        <f t="shared" si="35"/>
        <v>38.451383999999997</v>
      </c>
      <c r="G39" s="6">
        <f t="shared" si="35"/>
        <v>38.451383999999997</v>
      </c>
      <c r="H39" s="6">
        <f t="shared" si="35"/>
        <v>38.451383999999997</v>
      </c>
    </row>
    <row r="40" spans="1:8" x14ac:dyDescent="0.25">
      <c r="A40" t="s">
        <v>47</v>
      </c>
      <c r="B40">
        <f t="shared" ref="B40:H40" si="36">B35</f>
        <v>0.14000000000000001</v>
      </c>
      <c r="C40">
        <f t="shared" si="36"/>
        <v>0.14000000000000001</v>
      </c>
      <c r="D40">
        <f t="shared" si="36"/>
        <v>0.14000000000000001</v>
      </c>
      <c r="E40">
        <f t="shared" si="36"/>
        <v>0.14000000000000001</v>
      </c>
      <c r="F40">
        <f t="shared" si="36"/>
        <v>0.14000000000000001</v>
      </c>
      <c r="G40">
        <f t="shared" si="36"/>
        <v>0.14000000000000001</v>
      </c>
      <c r="H40">
        <f t="shared" si="36"/>
        <v>0.14000000000000001</v>
      </c>
    </row>
    <row r="41" spans="1:8" x14ac:dyDescent="0.25">
      <c r="A41" s="23" t="s">
        <v>48</v>
      </c>
      <c r="B41" s="24">
        <f t="shared" ref="B41:H41" si="37">B38+B39+B40</f>
        <v>25.783470640000047</v>
      </c>
      <c r="C41" s="24">
        <f t="shared" si="37"/>
        <v>59.853356770485078</v>
      </c>
      <c r="D41" s="24">
        <f t="shared" si="37"/>
        <v>68.950713779876324</v>
      </c>
      <c r="E41" s="24">
        <f t="shared" si="37"/>
        <v>72.637972157395367</v>
      </c>
      <c r="F41" s="24">
        <f t="shared" ca="1" si="37"/>
        <v>94.767039170882967</v>
      </c>
      <c r="G41" s="24">
        <f t="shared" ca="1" si="37"/>
        <v>110.44275075757081</v>
      </c>
      <c r="H41" s="24">
        <f t="shared" ca="1" si="37"/>
        <v>126.35848246428917</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0"/>
  <sheetViews>
    <sheetView tabSelected="1" workbookViewId="0">
      <selection activeCell="H59" sqref="H59"/>
    </sheetView>
  </sheetViews>
  <sheetFormatPr defaultRowHeight="15" x14ac:dyDescent="0.25"/>
  <cols>
    <col min="1" max="1" width="17.7109375" customWidth="1"/>
    <col min="2" max="2" width="15.28515625" bestFit="1" customWidth="1"/>
    <col min="3" max="3" width="22.140625" customWidth="1"/>
    <col min="4" max="4" width="15.7109375" customWidth="1"/>
    <col min="5" max="5" width="15.140625" bestFit="1" customWidth="1"/>
    <col min="6" max="6" width="11.7109375" customWidth="1"/>
    <col min="7" max="8" width="12.28515625" customWidth="1"/>
    <col min="9" max="9" width="8.85546875" customWidth="1"/>
  </cols>
  <sheetData>
    <row r="1" spans="1:8" ht="18.75" x14ac:dyDescent="0.3">
      <c r="A1" s="81" t="s">
        <v>165</v>
      </c>
      <c r="B1" s="81"/>
      <c r="C1" s="81"/>
      <c r="D1" s="81"/>
      <c r="E1" s="81"/>
      <c r="F1" s="81"/>
      <c r="G1" s="81"/>
      <c r="H1" s="81"/>
    </row>
    <row r="2" spans="1:8" x14ac:dyDescent="0.25">
      <c r="A2" t="s">
        <v>541</v>
      </c>
    </row>
    <row r="4" spans="1:8" x14ac:dyDescent="0.25">
      <c r="A4" s="47" t="s">
        <v>166</v>
      </c>
      <c r="B4" s="47"/>
      <c r="C4" s="47">
        <v>450000</v>
      </c>
      <c r="D4" s="47" t="s">
        <v>424</v>
      </c>
    </row>
    <row r="6" spans="1:8" x14ac:dyDescent="0.25">
      <c r="A6" s="18" t="s">
        <v>167</v>
      </c>
    </row>
    <row r="7" spans="1:8" x14ac:dyDescent="0.25">
      <c r="A7" s="2" t="s">
        <v>169</v>
      </c>
      <c r="B7" s="2" t="s">
        <v>170</v>
      </c>
      <c r="C7" s="2" t="s">
        <v>542</v>
      </c>
    </row>
    <row r="8" spans="1:8" x14ac:dyDescent="0.25">
      <c r="A8" s="71" t="s">
        <v>2</v>
      </c>
      <c r="B8" s="72">
        <v>0.4</v>
      </c>
      <c r="C8" s="102">
        <f>$C$4*B8*8/12</f>
        <v>120000</v>
      </c>
      <c r="E8" s="103">
        <f>C4/300</f>
        <v>1500</v>
      </c>
    </row>
    <row r="9" spans="1:8" x14ac:dyDescent="0.25">
      <c r="A9" s="71" t="s">
        <v>3</v>
      </c>
      <c r="B9" s="48">
        <f t="shared" ref="B9:B10" si="0">B8+5%</f>
        <v>0.45</v>
      </c>
      <c r="C9" s="102">
        <f t="shared" ref="C9:C14" si="1">$C$4*B9</f>
        <v>202500</v>
      </c>
    </row>
    <row r="10" spans="1:8" x14ac:dyDescent="0.25">
      <c r="A10" s="71" t="s">
        <v>4</v>
      </c>
      <c r="B10" s="48">
        <f t="shared" si="0"/>
        <v>0.5</v>
      </c>
      <c r="C10" s="102">
        <f t="shared" si="1"/>
        <v>225000</v>
      </c>
    </row>
    <row r="11" spans="1:8" x14ac:dyDescent="0.25">
      <c r="A11" s="71" t="s">
        <v>5</v>
      </c>
      <c r="B11" s="48">
        <f>B10+2.5%</f>
        <v>0.52500000000000002</v>
      </c>
      <c r="C11" s="102">
        <f t="shared" si="1"/>
        <v>236250</v>
      </c>
    </row>
    <row r="12" spans="1:8" x14ac:dyDescent="0.25">
      <c r="A12" s="71" t="s">
        <v>6</v>
      </c>
      <c r="B12" s="48">
        <f t="shared" ref="B12:B14" si="2">B11+2.5%</f>
        <v>0.55000000000000004</v>
      </c>
      <c r="C12" s="102">
        <f t="shared" si="1"/>
        <v>247500.00000000003</v>
      </c>
    </row>
    <row r="13" spans="1:8" x14ac:dyDescent="0.25">
      <c r="A13" s="71" t="s">
        <v>7</v>
      </c>
      <c r="B13" s="48">
        <f t="shared" si="2"/>
        <v>0.57500000000000007</v>
      </c>
      <c r="C13" s="102">
        <f t="shared" si="1"/>
        <v>258750.00000000003</v>
      </c>
    </row>
    <row r="14" spans="1:8" x14ac:dyDescent="0.25">
      <c r="A14" s="71" t="s">
        <v>535</v>
      </c>
      <c r="B14" s="48">
        <f t="shared" si="2"/>
        <v>0.60000000000000009</v>
      </c>
      <c r="C14" s="102">
        <f t="shared" si="1"/>
        <v>270000.00000000006</v>
      </c>
    </row>
    <row r="17" spans="1:8" ht="18.75" x14ac:dyDescent="0.3">
      <c r="A17" s="81" t="s">
        <v>171</v>
      </c>
      <c r="B17" s="81"/>
      <c r="C17" s="81"/>
      <c r="D17" s="81"/>
      <c r="E17" s="81"/>
      <c r="F17" s="81"/>
      <c r="G17" s="81"/>
      <c r="H17" s="81"/>
    </row>
    <row r="18" spans="1:8" x14ac:dyDescent="0.25">
      <c r="A18" s="18" t="s">
        <v>172</v>
      </c>
    </row>
    <row r="20" spans="1:8" x14ac:dyDescent="0.25">
      <c r="A20" s="2" t="s">
        <v>173</v>
      </c>
      <c r="B20" s="2" t="s">
        <v>174</v>
      </c>
      <c r="C20" s="2" t="s">
        <v>175</v>
      </c>
      <c r="D20" s="2" t="s">
        <v>176</v>
      </c>
      <c r="E20" s="2" t="s">
        <v>177</v>
      </c>
    </row>
    <row r="22" spans="1:8" x14ac:dyDescent="0.25">
      <c r="A22" s="73" t="s">
        <v>166</v>
      </c>
      <c r="B22" s="73">
        <v>450000</v>
      </c>
      <c r="C22" s="73">
        <v>1</v>
      </c>
      <c r="D22" s="73">
        <v>190</v>
      </c>
      <c r="E22" s="73">
        <f>B22*D22/100000</f>
        <v>855</v>
      </c>
    </row>
    <row r="23" spans="1:8" x14ac:dyDescent="0.25">
      <c r="A23" s="47" t="s">
        <v>130</v>
      </c>
      <c r="B23" s="47"/>
      <c r="C23" s="47"/>
      <c r="D23" s="47"/>
      <c r="E23" s="47">
        <f>E22</f>
        <v>855</v>
      </c>
    </row>
    <row r="25" spans="1:8" x14ac:dyDescent="0.25">
      <c r="A25" t="s">
        <v>178</v>
      </c>
    </row>
    <row r="27" spans="1:8" x14ac:dyDescent="0.25">
      <c r="B27">
        <f>E23</f>
        <v>855</v>
      </c>
      <c r="C27" t="s">
        <v>232</v>
      </c>
    </row>
    <row r="29" spans="1:8" x14ac:dyDescent="0.25">
      <c r="A29" t="s">
        <v>179</v>
      </c>
    </row>
    <row r="31" spans="1:8" x14ac:dyDescent="0.25">
      <c r="A31" s="2" t="s">
        <v>180</v>
      </c>
      <c r="B31" s="2" t="s">
        <v>443</v>
      </c>
      <c r="C31" s="2" t="s">
        <v>181</v>
      </c>
    </row>
    <row r="32" spans="1:8" x14ac:dyDescent="0.25">
      <c r="A32" s="71" t="s">
        <v>2</v>
      </c>
      <c r="B32" s="72">
        <f t="shared" ref="B32:B38" si="3">B8</f>
        <v>0.4</v>
      </c>
      <c r="C32" s="29">
        <f>$E$22*B32*8/12</f>
        <v>228</v>
      </c>
    </row>
    <row r="33" spans="1:13" x14ac:dyDescent="0.25">
      <c r="A33" s="71" t="s">
        <v>3</v>
      </c>
      <c r="B33" s="72">
        <f t="shared" si="3"/>
        <v>0.45</v>
      </c>
      <c r="C33" s="29">
        <f>$E$22*B33</f>
        <v>384.75</v>
      </c>
      <c r="G33" s="5"/>
      <c r="H33" s="9"/>
      <c r="I33" s="9"/>
      <c r="J33" s="9"/>
      <c r="K33" s="9"/>
      <c r="L33" s="9"/>
      <c r="M33" s="9"/>
    </row>
    <row r="34" spans="1:13" x14ac:dyDescent="0.25">
      <c r="A34" s="71" t="s">
        <v>4</v>
      </c>
      <c r="B34" s="72">
        <f t="shared" si="3"/>
        <v>0.5</v>
      </c>
      <c r="C34" s="29">
        <f>$E$22*B34</f>
        <v>427.5</v>
      </c>
      <c r="G34" s="6"/>
      <c r="H34" s="6"/>
      <c r="I34" s="6"/>
      <c r="J34" s="6"/>
      <c r="K34" s="6"/>
      <c r="L34" s="6"/>
      <c r="M34" s="6"/>
    </row>
    <row r="35" spans="1:13" x14ac:dyDescent="0.25">
      <c r="A35" s="71" t="s">
        <v>5</v>
      </c>
      <c r="B35" s="72">
        <f t="shared" si="3"/>
        <v>0.52500000000000002</v>
      </c>
      <c r="C35" s="29">
        <f t="shared" ref="C35" si="4">$E$22*B35</f>
        <v>448.875</v>
      </c>
    </row>
    <row r="36" spans="1:13" x14ac:dyDescent="0.25">
      <c r="A36" s="71" t="s">
        <v>6</v>
      </c>
      <c r="B36" s="72">
        <f t="shared" si="3"/>
        <v>0.55000000000000004</v>
      </c>
      <c r="C36" s="29">
        <f>$E$22*B36</f>
        <v>470.25000000000006</v>
      </c>
    </row>
    <row r="37" spans="1:13" x14ac:dyDescent="0.25">
      <c r="A37" s="71" t="s">
        <v>7</v>
      </c>
      <c r="B37" s="72">
        <f t="shared" si="3"/>
        <v>0.57500000000000007</v>
      </c>
      <c r="C37" s="29">
        <f>$E$22*B37</f>
        <v>491.62500000000006</v>
      </c>
    </row>
    <row r="38" spans="1:13" x14ac:dyDescent="0.25">
      <c r="A38" s="71" t="s">
        <v>535</v>
      </c>
      <c r="B38" s="72">
        <f t="shared" si="3"/>
        <v>0.60000000000000009</v>
      </c>
      <c r="C38" s="29">
        <f>$E$22*B38</f>
        <v>513.00000000000011</v>
      </c>
    </row>
    <row r="39" spans="1:13" x14ac:dyDescent="0.25">
      <c r="A39" s="19"/>
    </row>
    <row r="41" spans="1:13" x14ac:dyDescent="0.25">
      <c r="A41" s="19"/>
      <c r="H41" t="s">
        <v>181</v>
      </c>
    </row>
    <row r="42" spans="1:13" x14ac:dyDescent="0.25">
      <c r="A42" s="2" t="s">
        <v>182</v>
      </c>
      <c r="B42" s="52" t="s">
        <v>2</v>
      </c>
      <c r="C42" s="52" t="s">
        <v>3</v>
      </c>
      <c r="D42" s="52" t="s">
        <v>4</v>
      </c>
      <c r="E42" s="52" t="s">
        <v>5</v>
      </c>
      <c r="F42" s="52" t="s">
        <v>6</v>
      </c>
      <c r="G42" s="52" t="s">
        <v>7</v>
      </c>
      <c r="H42" s="52" t="s">
        <v>535</v>
      </c>
    </row>
    <row r="43" spans="1:13" x14ac:dyDescent="0.25">
      <c r="A43" s="54" t="s">
        <v>441</v>
      </c>
      <c r="B43" s="72">
        <f>B32</f>
        <v>0.4</v>
      </c>
      <c r="C43" s="72">
        <f>B33</f>
        <v>0.45</v>
      </c>
      <c r="D43" s="72">
        <f>B34</f>
        <v>0.5</v>
      </c>
      <c r="E43" s="72">
        <f>B35</f>
        <v>0.52500000000000002</v>
      </c>
      <c r="F43" s="72">
        <f>B36</f>
        <v>0.55000000000000004</v>
      </c>
      <c r="G43" s="72">
        <f>B37</f>
        <v>0.57500000000000007</v>
      </c>
      <c r="H43" s="72">
        <f>B38</f>
        <v>0.60000000000000009</v>
      </c>
    </row>
    <row r="44" spans="1:13" x14ac:dyDescent="0.25">
      <c r="A44" s="54" t="s">
        <v>183</v>
      </c>
      <c r="B44" s="29">
        <f>C32</f>
        <v>228</v>
      </c>
      <c r="C44" s="29">
        <f>C33</f>
        <v>384.75</v>
      </c>
      <c r="D44" s="29">
        <f>C34</f>
        <v>427.5</v>
      </c>
      <c r="E44" s="29">
        <f>C35</f>
        <v>448.875</v>
      </c>
      <c r="F44" s="29">
        <f>C36</f>
        <v>470.25000000000006</v>
      </c>
      <c r="G44" s="29">
        <f>C37</f>
        <v>491.62500000000006</v>
      </c>
      <c r="H44" s="29">
        <f>C38</f>
        <v>513.00000000000011</v>
      </c>
    </row>
    <row r="45" spans="1:13" x14ac:dyDescent="0.25">
      <c r="A45" s="54" t="s">
        <v>184</v>
      </c>
      <c r="B45" s="29">
        <v>0</v>
      </c>
      <c r="C45" s="43">
        <v>4.0599999999999996</v>
      </c>
      <c r="D45" s="43">
        <v>4.3499999999999996</v>
      </c>
      <c r="E45" s="43">
        <v>4.6500000000000004</v>
      </c>
      <c r="F45" s="29">
        <f t="shared" ref="F45:H47" si="5">E45*(1+F57)</f>
        <v>4.9706896551724151</v>
      </c>
      <c r="G45" s="29">
        <f t="shared" si="5"/>
        <v>5.3134958382877544</v>
      </c>
      <c r="H45" s="29">
        <f t="shared" si="5"/>
        <v>5.6799438271351868</v>
      </c>
    </row>
    <row r="46" spans="1:13" x14ac:dyDescent="0.25">
      <c r="A46" s="54" t="s">
        <v>185</v>
      </c>
      <c r="B46" s="43">
        <v>4.0599999999999996</v>
      </c>
      <c r="C46" s="43">
        <v>4.3499999999999996</v>
      </c>
      <c r="D46" s="43">
        <v>4.6500000000000004</v>
      </c>
      <c r="E46" s="43">
        <v>4.95</v>
      </c>
      <c r="F46" s="29">
        <f t="shared" ca="1" si="5"/>
        <v>5.002659574468086</v>
      </c>
      <c r="G46" s="29">
        <f t="shared" ca="1" si="5"/>
        <v>5.0540887850467291</v>
      </c>
      <c r="H46" s="29">
        <f t="shared" ca="1" si="5"/>
        <v>5.104377236795532</v>
      </c>
      <c r="M46" s="34"/>
    </row>
    <row r="47" spans="1:13" x14ac:dyDescent="0.25">
      <c r="A47" s="54" t="s">
        <v>186</v>
      </c>
      <c r="B47" s="29">
        <v>0</v>
      </c>
      <c r="C47" s="43">
        <v>19.64</v>
      </c>
      <c r="D47" s="43">
        <v>20.93</v>
      </c>
      <c r="E47" s="43">
        <v>22.22</v>
      </c>
      <c r="F47" s="29">
        <f t="shared" ca="1" si="5"/>
        <v>23.321998526884361</v>
      </c>
      <c r="G47" s="29">
        <f t="shared" ca="1" si="5"/>
        <v>24.483459404942007</v>
      </c>
      <c r="H47" s="29">
        <f t="shared" ca="1" si="5"/>
        <v>25.710520793085117</v>
      </c>
    </row>
    <row r="48" spans="1:13" x14ac:dyDescent="0.25">
      <c r="A48" s="54" t="s">
        <v>187</v>
      </c>
      <c r="B48" s="43">
        <v>19.64</v>
      </c>
      <c r="C48" s="43">
        <v>20.93</v>
      </c>
      <c r="D48" s="43">
        <v>22.22</v>
      </c>
      <c r="E48" s="29">
        <v>23.5</v>
      </c>
      <c r="F48" s="29">
        <f>F44*4%</f>
        <v>18.810000000000002</v>
      </c>
      <c r="G48" s="29">
        <f>G44*4%</f>
        <v>19.665000000000003</v>
      </c>
      <c r="H48" s="29">
        <f>H44*4%</f>
        <v>20.520000000000007</v>
      </c>
    </row>
    <row r="49" spans="1:9" x14ac:dyDescent="0.25">
      <c r="A49" s="54" t="s">
        <v>440</v>
      </c>
      <c r="B49" s="29">
        <f t="shared" ref="B49:H49" si="6">B44+B45-B46+B47-B48</f>
        <v>204.3</v>
      </c>
      <c r="C49" s="29">
        <f t="shared" si="6"/>
        <v>383.16999999999996</v>
      </c>
      <c r="D49" s="29">
        <f t="shared" si="6"/>
        <v>425.91000000000008</v>
      </c>
      <c r="E49" s="29">
        <f t="shared" si="6"/>
        <v>447.29499999999996</v>
      </c>
      <c r="F49" s="29">
        <f t="shared" ca="1" si="6"/>
        <v>474.73002860758874</v>
      </c>
      <c r="G49" s="29">
        <f t="shared" ca="1" si="6"/>
        <v>496.70286645818311</v>
      </c>
      <c r="H49" s="29">
        <f t="shared" ca="1" si="6"/>
        <v>518.76608738342486</v>
      </c>
    </row>
    <row r="50" spans="1:9" x14ac:dyDescent="0.25">
      <c r="A50" s="54" t="s">
        <v>188</v>
      </c>
      <c r="B50" s="29">
        <f t="shared" ref="B50:H50" si="7">B49</f>
        <v>204.3</v>
      </c>
      <c r="C50" s="29">
        <f t="shared" si="7"/>
        <v>383.16999999999996</v>
      </c>
      <c r="D50" s="29">
        <f t="shared" si="7"/>
        <v>425.91000000000008</v>
      </c>
      <c r="E50" s="29">
        <f t="shared" si="7"/>
        <v>447.29499999999996</v>
      </c>
      <c r="F50" s="29">
        <f t="shared" ca="1" si="7"/>
        <v>474.73002860758874</v>
      </c>
      <c r="G50" s="29">
        <f t="shared" ca="1" si="7"/>
        <v>496.70286645818311</v>
      </c>
      <c r="H50" s="29">
        <f t="shared" ca="1" si="7"/>
        <v>518.76608738342486</v>
      </c>
    </row>
    <row r="51" spans="1:9" x14ac:dyDescent="0.25">
      <c r="A51" s="49" t="s">
        <v>189</v>
      </c>
      <c r="B51" s="47">
        <f>B50</f>
        <v>204.3</v>
      </c>
      <c r="C51" s="47">
        <f t="shared" ref="C51:E51" si="8">C50</f>
        <v>383.16999999999996</v>
      </c>
      <c r="D51" s="47">
        <f t="shared" si="8"/>
        <v>425.91000000000008</v>
      </c>
      <c r="E51" s="47">
        <f t="shared" si="8"/>
        <v>447.29499999999996</v>
      </c>
      <c r="F51" s="47">
        <f t="shared" ref="F51:H51" ca="1" si="9">F50</f>
        <v>474.73002860758874</v>
      </c>
      <c r="G51" s="47">
        <f t="shared" ca="1" si="9"/>
        <v>496.70286645818311</v>
      </c>
      <c r="H51" s="47">
        <f t="shared" ca="1" si="9"/>
        <v>518.76608738342486</v>
      </c>
    </row>
    <row r="57" spans="1:9" x14ac:dyDescent="0.25">
      <c r="A57" t="s">
        <v>184</v>
      </c>
      <c r="C57" s="50"/>
      <c r="D57" s="50">
        <f t="shared" ref="D57:E57" si="10">D45/C45-1</f>
        <v>7.1428571428571397E-2</v>
      </c>
      <c r="E57" s="50">
        <f t="shared" si="10"/>
        <v>6.8965517241379448E-2</v>
      </c>
      <c r="F57" s="51">
        <f>E57</f>
        <v>6.8965517241379448E-2</v>
      </c>
      <c r="G57" s="51">
        <f t="shared" ref="G57:H57" si="11">F57</f>
        <v>6.8965517241379448E-2</v>
      </c>
      <c r="H57" s="51">
        <f t="shared" si="11"/>
        <v>6.8965517241379448E-2</v>
      </c>
      <c r="I57" s="45"/>
    </row>
    <row r="58" spans="1:9" x14ac:dyDescent="0.25">
      <c r="A58" t="s">
        <v>185</v>
      </c>
      <c r="B58" s="50">
        <f>B46/B44</f>
        <v>1.7807017543859646E-2</v>
      </c>
      <c r="C58" s="50">
        <f>C46/C44</f>
        <v>1.1306042884990252E-2</v>
      </c>
      <c r="D58" s="50">
        <f>D46/D44</f>
        <v>1.0877192982456142E-2</v>
      </c>
      <c r="E58" s="50">
        <f t="shared" ref="E58:H58" si="12">E46/E44</f>
        <v>1.1027568922305764E-2</v>
      </c>
      <c r="F58" s="50">
        <f t="shared" ca="1" si="12"/>
        <v>1.0638297872340425E-2</v>
      </c>
      <c r="G58" s="50">
        <f t="shared" ca="1" si="12"/>
        <v>1.0280373831775699E-2</v>
      </c>
      <c r="H58" s="50">
        <f t="shared" ca="1" si="12"/>
        <v>9.9500530931686763E-3</v>
      </c>
      <c r="I58" s="44"/>
    </row>
    <row r="59" spans="1:9" x14ac:dyDescent="0.25">
      <c r="A59" t="s">
        <v>186</v>
      </c>
      <c r="C59" s="50">
        <f>C47/C44</f>
        <v>5.1046133853151397E-2</v>
      </c>
      <c r="D59" s="50">
        <f t="shared" ref="D59:H59" si="13">D47/D44</f>
        <v>4.8959064327485383E-2</v>
      </c>
      <c r="E59" s="50">
        <f t="shared" si="13"/>
        <v>4.9501531606794762E-2</v>
      </c>
      <c r="F59" s="50">
        <f t="shared" ca="1" si="13"/>
        <v>4.9594893199116127E-2</v>
      </c>
      <c r="G59" s="50">
        <f t="shared" ca="1" si="13"/>
        <v>4.9801087017425895E-2</v>
      </c>
      <c r="H59" s="50">
        <f t="shared" ca="1" si="13"/>
        <v>5.0117974255526533E-2</v>
      </c>
      <c r="I59" s="35"/>
    </row>
    <row r="60" spans="1:9" x14ac:dyDescent="0.25">
      <c r="A60" t="s">
        <v>187</v>
      </c>
      <c r="B60" s="50">
        <f t="shared" ref="B60:H60" si="14">B48/B44</f>
        <v>8.6140350877192989E-2</v>
      </c>
      <c r="C60" s="50">
        <f t="shared" si="14"/>
        <v>5.4398960363872643E-2</v>
      </c>
      <c r="D60" s="50">
        <f t="shared" si="14"/>
        <v>5.1976608187134503E-2</v>
      </c>
      <c r="E60" s="50">
        <f t="shared" si="14"/>
        <v>5.2353104984683929E-2</v>
      </c>
      <c r="F60" s="50">
        <f t="shared" si="14"/>
        <v>0.04</v>
      </c>
      <c r="G60" s="50">
        <f t="shared" si="14"/>
        <v>0.04</v>
      </c>
      <c r="H60" s="50">
        <f t="shared" si="14"/>
        <v>0.04</v>
      </c>
      <c r="I60" s="35"/>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45"/>
  <sheetViews>
    <sheetView workbookViewId="0">
      <selection activeCell="B11" sqref="B11"/>
    </sheetView>
  </sheetViews>
  <sheetFormatPr defaultRowHeight="15" x14ac:dyDescent="0.25"/>
  <cols>
    <col min="1" max="1" width="16.42578125" customWidth="1"/>
    <col min="2" max="2" width="20.140625" bestFit="1" customWidth="1"/>
    <col min="3" max="3" width="9.28515625" customWidth="1"/>
    <col min="4" max="4" width="11.7109375" customWidth="1"/>
    <col min="12" max="12" width="33.42578125" customWidth="1"/>
    <col min="13" max="13" width="26.28515625" bestFit="1" customWidth="1"/>
    <col min="14" max="14" width="20" bestFit="1" customWidth="1"/>
  </cols>
  <sheetData>
    <row r="2" spans="1:14" ht="18.75" x14ac:dyDescent="0.3">
      <c r="A2" s="81" t="s">
        <v>23</v>
      </c>
      <c r="B2" s="81"/>
      <c r="C2" s="81"/>
      <c r="D2" s="81"/>
      <c r="E2" s="81"/>
      <c r="F2" s="81"/>
      <c r="G2" s="81"/>
      <c r="H2" s="81"/>
    </row>
    <row r="3" spans="1:14" x14ac:dyDescent="0.25">
      <c r="A3" t="s">
        <v>190</v>
      </c>
      <c r="L3" s="2" t="s">
        <v>463</v>
      </c>
      <c r="M3" s="2" t="s">
        <v>471</v>
      </c>
      <c r="N3" s="2" t="s">
        <v>472</v>
      </c>
    </row>
    <row r="4" spans="1:14" x14ac:dyDescent="0.25">
      <c r="K4" t="s">
        <v>464</v>
      </c>
      <c r="L4" s="10" t="s">
        <v>456</v>
      </c>
      <c r="M4" s="85">
        <v>70</v>
      </c>
      <c r="N4" s="85">
        <v>85</v>
      </c>
    </row>
    <row r="5" spans="1:14" x14ac:dyDescent="0.25">
      <c r="A5" s="2" t="s">
        <v>50</v>
      </c>
      <c r="B5" s="2" t="s">
        <v>191</v>
      </c>
      <c r="C5" s="2" t="s">
        <v>192</v>
      </c>
      <c r="D5" s="2" t="s">
        <v>193</v>
      </c>
      <c r="K5" t="s">
        <v>465</v>
      </c>
      <c r="L5" s="10" t="s">
        <v>457</v>
      </c>
      <c r="M5" s="85">
        <v>71</v>
      </c>
      <c r="N5" s="85">
        <v>85</v>
      </c>
    </row>
    <row r="6" spans="1:14" x14ac:dyDescent="0.25">
      <c r="A6" s="10"/>
      <c r="B6" s="10"/>
      <c r="C6" s="10"/>
      <c r="D6" s="76" t="s">
        <v>423</v>
      </c>
      <c r="K6" t="s">
        <v>466</v>
      </c>
      <c r="L6" s="10" t="s">
        <v>458</v>
      </c>
      <c r="M6" s="85">
        <v>80</v>
      </c>
      <c r="N6" s="85">
        <v>90</v>
      </c>
    </row>
    <row r="7" spans="1:14" x14ac:dyDescent="0.25">
      <c r="A7" s="10" t="s">
        <v>194</v>
      </c>
      <c r="B7" s="55">
        <v>1575</v>
      </c>
      <c r="C7" s="55">
        <v>105</v>
      </c>
      <c r="D7" s="55">
        <f>B7*C7/100000</f>
        <v>1.6537500000000001</v>
      </c>
      <c r="K7" t="s">
        <v>467</v>
      </c>
      <c r="L7" s="10" t="s">
        <v>459</v>
      </c>
      <c r="M7" s="85">
        <v>117</v>
      </c>
      <c r="N7" s="85">
        <v>130</v>
      </c>
    </row>
    <row r="8" spans="1:14" x14ac:dyDescent="0.25">
      <c r="A8" s="10" t="s">
        <v>195</v>
      </c>
      <c r="B8" s="43"/>
      <c r="C8" s="43"/>
      <c r="D8" s="43">
        <v>0.02</v>
      </c>
      <c r="K8" t="s">
        <v>468</v>
      </c>
      <c r="L8" s="10" t="s">
        <v>460</v>
      </c>
      <c r="M8" s="85">
        <v>65</v>
      </c>
      <c r="N8" s="85">
        <v>75</v>
      </c>
    </row>
    <row r="9" spans="1:14" x14ac:dyDescent="0.25">
      <c r="A9" s="53" t="s">
        <v>130</v>
      </c>
      <c r="B9" s="47"/>
      <c r="C9" s="47"/>
      <c r="D9" s="47">
        <f>D7+D8</f>
        <v>1.6737500000000001</v>
      </c>
      <c r="F9">
        <f>D9*25</f>
        <v>41.84375</v>
      </c>
      <c r="K9" t="s">
        <v>469</v>
      </c>
      <c r="L9" s="10" t="s">
        <v>461</v>
      </c>
      <c r="M9" s="85">
        <v>95</v>
      </c>
      <c r="N9" s="85">
        <v>115</v>
      </c>
    </row>
    <row r="10" spans="1:14" x14ac:dyDescent="0.25">
      <c r="A10" t="s">
        <v>196</v>
      </c>
      <c r="K10" t="s">
        <v>470</v>
      </c>
      <c r="L10" s="10" t="s">
        <v>462</v>
      </c>
      <c r="M10" s="85">
        <v>75</v>
      </c>
      <c r="N10" s="85">
        <v>130</v>
      </c>
    </row>
    <row r="11" spans="1:14" x14ac:dyDescent="0.25">
      <c r="A11" s="53" t="s">
        <v>197</v>
      </c>
      <c r="B11" s="47">
        <f>D9*300</f>
        <v>502.125</v>
      </c>
      <c r="C11" s="47" t="s">
        <v>198</v>
      </c>
      <c r="L11" s="53" t="s">
        <v>473</v>
      </c>
      <c r="M11" s="60">
        <f>AVERAGE(M4:M10)</f>
        <v>81.857142857142861</v>
      </c>
      <c r="N11" s="47">
        <f>AVERAGE(N4:N10)</f>
        <v>101.42857142857143</v>
      </c>
    </row>
    <row r="14" spans="1:14" x14ac:dyDescent="0.25">
      <c r="L14" t="s">
        <v>474</v>
      </c>
    </row>
    <row r="15" spans="1:14" x14ac:dyDescent="0.25">
      <c r="A15" s="2" t="s">
        <v>50</v>
      </c>
      <c r="B15" s="52" t="s">
        <v>2</v>
      </c>
      <c r="C15" s="52" t="s">
        <v>3</v>
      </c>
      <c r="D15" s="52" t="s">
        <v>4</v>
      </c>
      <c r="E15" s="52" t="s">
        <v>5</v>
      </c>
      <c r="F15" s="52" t="s">
        <v>6</v>
      </c>
      <c r="G15" s="52" t="s">
        <v>7</v>
      </c>
      <c r="H15" s="52" t="s">
        <v>535</v>
      </c>
      <c r="L15" t="s">
        <v>475</v>
      </c>
    </row>
    <row r="16" spans="1:14" x14ac:dyDescent="0.25">
      <c r="A16" s="54" t="s">
        <v>441</v>
      </c>
      <c r="B16" s="74">
        <f>'Sales Realisation'!B8</f>
        <v>0.4</v>
      </c>
      <c r="C16" s="74">
        <f>'Sales Realisation'!B9</f>
        <v>0.45</v>
      </c>
      <c r="D16" s="74">
        <f>'Sales Realisation'!B10</f>
        <v>0.5</v>
      </c>
      <c r="E16" s="74">
        <f>'Sales Realisation'!B11</f>
        <v>0.52500000000000002</v>
      </c>
      <c r="F16" s="75">
        <f>'Sales Realisation'!B12</f>
        <v>0.55000000000000004</v>
      </c>
      <c r="G16" s="75">
        <f>'Sales Realisation'!B13</f>
        <v>0.57500000000000007</v>
      </c>
      <c r="H16" s="75">
        <f>'Sales Realisation'!B14</f>
        <v>0.60000000000000009</v>
      </c>
      <c r="L16" t="s">
        <v>476</v>
      </c>
    </row>
    <row r="17" spans="1:13" x14ac:dyDescent="0.25">
      <c r="A17" s="53" t="s">
        <v>444</v>
      </c>
      <c r="B17" s="58">
        <f>$B$11*B16*8/12</f>
        <v>133.9</v>
      </c>
      <c r="C17" s="47">
        <f t="shared" ref="C17:H17" si="0">$B$11*C16</f>
        <v>225.95625000000001</v>
      </c>
      <c r="D17" s="47">
        <f t="shared" si="0"/>
        <v>251.0625</v>
      </c>
      <c r="E17" s="47">
        <f t="shared" si="0"/>
        <v>263.61562500000002</v>
      </c>
      <c r="F17" s="47">
        <f t="shared" si="0"/>
        <v>276.16875000000005</v>
      </c>
      <c r="G17" s="47">
        <f t="shared" si="0"/>
        <v>288.72187500000001</v>
      </c>
      <c r="H17" s="47">
        <f t="shared" si="0"/>
        <v>301.27500000000003</v>
      </c>
      <c r="L17" t="s">
        <v>477</v>
      </c>
    </row>
    <row r="18" spans="1:13" x14ac:dyDescent="0.25">
      <c r="L18" t="s">
        <v>478</v>
      </c>
    </row>
    <row r="19" spans="1:13" x14ac:dyDescent="0.25">
      <c r="A19" t="s">
        <v>536</v>
      </c>
      <c r="B19" s="6">
        <f>B17/12</f>
        <v>11.158333333333333</v>
      </c>
      <c r="C19" s="6">
        <f>C17/12</f>
        <v>18.829687500000002</v>
      </c>
      <c r="D19" s="6">
        <f t="shared" ref="D19:H19" si="1">D17/12</f>
        <v>20.921875</v>
      </c>
      <c r="E19" s="6">
        <f t="shared" si="1"/>
        <v>21.967968750000001</v>
      </c>
      <c r="F19" s="6">
        <f t="shared" si="1"/>
        <v>23.014062500000005</v>
      </c>
      <c r="G19" s="6">
        <f t="shared" si="1"/>
        <v>24.060156250000002</v>
      </c>
      <c r="H19" s="6">
        <f t="shared" si="1"/>
        <v>25.106250000000003</v>
      </c>
      <c r="L19" t="s">
        <v>479</v>
      </c>
    </row>
    <row r="20" spans="1:13" x14ac:dyDescent="0.25">
      <c r="L20" t="s">
        <v>480</v>
      </c>
    </row>
    <row r="21" spans="1:13" x14ac:dyDescent="0.25">
      <c r="L21" t="s">
        <v>481</v>
      </c>
    </row>
    <row r="22" spans="1:13" x14ac:dyDescent="0.25">
      <c r="L22" t="s">
        <v>482</v>
      </c>
    </row>
    <row r="24" spans="1:13" x14ac:dyDescent="0.25">
      <c r="L24" s="2" t="s">
        <v>516</v>
      </c>
      <c r="M24" s="2" t="s">
        <v>517</v>
      </c>
    </row>
    <row r="25" spans="1:13" x14ac:dyDescent="0.25">
      <c r="L25" s="10" t="s">
        <v>460</v>
      </c>
      <c r="M25" s="28" t="s">
        <v>519</v>
      </c>
    </row>
    <row r="26" spans="1:13" x14ac:dyDescent="0.25">
      <c r="L26" s="10" t="s">
        <v>456</v>
      </c>
      <c r="M26" s="10" t="s">
        <v>519</v>
      </c>
    </row>
    <row r="27" spans="1:13" x14ac:dyDescent="0.25">
      <c r="L27" s="10" t="s">
        <v>457</v>
      </c>
      <c r="M27" s="10" t="s">
        <v>519</v>
      </c>
    </row>
    <row r="28" spans="1:13" x14ac:dyDescent="0.25">
      <c r="L28" s="10" t="s">
        <v>458</v>
      </c>
      <c r="M28" s="10" t="s">
        <v>519</v>
      </c>
    </row>
    <row r="29" spans="1:13" x14ac:dyDescent="0.25">
      <c r="L29" s="10" t="s">
        <v>459</v>
      </c>
      <c r="M29" s="10" t="s">
        <v>518</v>
      </c>
    </row>
    <row r="30" spans="1:13" x14ac:dyDescent="0.25">
      <c r="L30" s="10" t="s">
        <v>514</v>
      </c>
      <c r="M30" s="10" t="s">
        <v>520</v>
      </c>
    </row>
    <row r="31" spans="1:13" x14ac:dyDescent="0.25">
      <c r="L31" s="10" t="s">
        <v>461</v>
      </c>
      <c r="M31" s="10" t="s">
        <v>521</v>
      </c>
    </row>
    <row r="32" spans="1:13" x14ac:dyDescent="0.25">
      <c r="L32" s="86" t="s">
        <v>515</v>
      </c>
      <c r="M32" s="10" t="s">
        <v>522</v>
      </c>
    </row>
    <row r="34" spans="12:13" x14ac:dyDescent="0.25">
      <c r="L34" s="30" t="s">
        <v>523</v>
      </c>
      <c r="M34" s="30" t="s">
        <v>524</v>
      </c>
    </row>
    <row r="35" spans="12:13" x14ac:dyDescent="0.25">
      <c r="L35" s="10" t="s">
        <v>475</v>
      </c>
      <c r="M35" s="10" t="s">
        <v>526</v>
      </c>
    </row>
    <row r="36" spans="12:13" x14ac:dyDescent="0.25">
      <c r="L36" s="10" t="s">
        <v>476</v>
      </c>
      <c r="M36" s="10" t="s">
        <v>526</v>
      </c>
    </row>
    <row r="37" spans="12:13" x14ac:dyDescent="0.25">
      <c r="L37" s="10" t="s">
        <v>477</v>
      </c>
      <c r="M37" s="10" t="s">
        <v>526</v>
      </c>
    </row>
    <row r="38" spans="12:13" x14ac:dyDescent="0.25">
      <c r="L38" s="10" t="s">
        <v>478</v>
      </c>
      <c r="M38" s="10" t="s">
        <v>527</v>
      </c>
    </row>
    <row r="39" spans="12:13" x14ac:dyDescent="0.25">
      <c r="L39" s="10" t="s">
        <v>478</v>
      </c>
      <c r="M39" s="10" t="s">
        <v>528</v>
      </c>
    </row>
    <row r="40" spans="12:13" x14ac:dyDescent="0.25">
      <c r="L40" s="10" t="s">
        <v>479</v>
      </c>
      <c r="M40" s="10" t="s">
        <v>529</v>
      </c>
    </row>
    <row r="41" spans="12:13" x14ac:dyDescent="0.25">
      <c r="L41" s="10" t="s">
        <v>480</v>
      </c>
      <c r="M41" s="10" t="s">
        <v>530</v>
      </c>
    </row>
    <row r="42" spans="12:13" x14ac:dyDescent="0.25">
      <c r="L42" s="10" t="s">
        <v>481</v>
      </c>
      <c r="M42" s="10" t="s">
        <v>531</v>
      </c>
    </row>
    <row r="43" spans="12:13" x14ac:dyDescent="0.25">
      <c r="L43" s="10" t="s">
        <v>482</v>
      </c>
      <c r="M43" s="10" t="s">
        <v>532</v>
      </c>
    </row>
    <row r="44" spans="12:13" x14ac:dyDescent="0.25">
      <c r="L44" s="10" t="s">
        <v>482</v>
      </c>
      <c r="M44" s="10" t="s">
        <v>533</v>
      </c>
    </row>
    <row r="45" spans="12:13" x14ac:dyDescent="0.25">
      <c r="L45" s="10" t="s">
        <v>525</v>
      </c>
      <c r="M45" s="10" t="s">
        <v>534</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workbookViewId="0">
      <pane xSplit="1" ySplit="3" topLeftCell="B13" activePane="bottomRight" state="frozen"/>
      <selection pane="topRight" activeCell="C1" sqref="C1"/>
      <selection pane="bottomLeft" activeCell="A4" sqref="A4"/>
      <selection pane="bottomRight" activeCell="C18" sqref="C18:I29"/>
    </sheetView>
  </sheetViews>
  <sheetFormatPr defaultRowHeight="15" x14ac:dyDescent="0.25"/>
  <cols>
    <col min="1" max="1" width="22.7109375" customWidth="1"/>
  </cols>
  <sheetData>
    <row r="1" spans="1:16" ht="18.75" x14ac:dyDescent="0.3">
      <c r="A1" s="81" t="s">
        <v>294</v>
      </c>
      <c r="B1" s="81"/>
      <c r="C1" s="81"/>
      <c r="D1" s="81"/>
      <c r="E1" s="81"/>
      <c r="F1" s="81"/>
      <c r="G1" s="81"/>
      <c r="H1" s="81"/>
      <c r="I1" s="81"/>
    </row>
    <row r="2" spans="1:16" x14ac:dyDescent="0.25">
      <c r="C2" s="4" t="s">
        <v>14</v>
      </c>
      <c r="D2" s="4" t="s">
        <v>15</v>
      </c>
      <c r="E2" s="4" t="s">
        <v>16</v>
      </c>
      <c r="F2" s="4">
        <v>0.4</v>
      </c>
      <c r="G2" s="4" t="s">
        <v>18</v>
      </c>
      <c r="H2" s="4" t="s">
        <v>19</v>
      </c>
      <c r="I2" s="4" t="s">
        <v>20</v>
      </c>
    </row>
    <row r="3" spans="1:16" x14ac:dyDescent="0.25">
      <c r="B3" t="s">
        <v>267</v>
      </c>
      <c r="C3" s="2" t="s">
        <v>2</v>
      </c>
      <c r="D3" s="2" t="s">
        <v>3</v>
      </c>
      <c r="E3" s="2" t="s">
        <v>4</v>
      </c>
      <c r="F3" s="2" t="s">
        <v>5</v>
      </c>
      <c r="G3" s="2" t="s">
        <v>6</v>
      </c>
      <c r="H3" s="2" t="s">
        <v>7</v>
      </c>
      <c r="I3" s="2" t="s">
        <v>535</v>
      </c>
    </row>
    <row r="4" spans="1:16" x14ac:dyDescent="0.25">
      <c r="A4" s="2" t="s">
        <v>295</v>
      </c>
      <c r="B4" s="2"/>
      <c r="C4" s="2"/>
      <c r="D4" s="2"/>
      <c r="E4" s="2"/>
      <c r="F4" s="2"/>
      <c r="G4" s="2"/>
      <c r="H4" s="2"/>
      <c r="I4" s="2"/>
    </row>
    <row r="5" spans="1:16" x14ac:dyDescent="0.25">
      <c r="A5" t="s">
        <v>271</v>
      </c>
      <c r="B5">
        <f>'Project Cost'!C44</f>
        <v>125.38999999999999</v>
      </c>
      <c r="C5">
        <f>'Project Cost'!B18</f>
        <v>159.07</v>
      </c>
      <c r="D5">
        <f>C5</f>
        <v>159.07</v>
      </c>
      <c r="E5">
        <f t="shared" ref="E5:I5" si="0">D5</f>
        <v>159.07</v>
      </c>
      <c r="F5">
        <f t="shared" si="0"/>
        <v>159.07</v>
      </c>
      <c r="G5">
        <f t="shared" si="0"/>
        <v>159.07</v>
      </c>
      <c r="H5">
        <f t="shared" si="0"/>
        <v>159.07</v>
      </c>
      <c r="I5">
        <f t="shared" si="0"/>
        <v>159.07</v>
      </c>
    </row>
    <row r="6" spans="1:16" x14ac:dyDescent="0.25">
      <c r="A6" t="s">
        <v>296</v>
      </c>
      <c r="B6" s="6">
        <v>0</v>
      </c>
      <c r="C6" s="6">
        <f>PL!B38</f>
        <v>1.0137306666709756E-2</v>
      </c>
      <c r="D6" s="6">
        <f>C6+PL!C38</f>
        <v>21.272110077151787</v>
      </c>
      <c r="E6" s="6">
        <f>D6+PL!D38</f>
        <v>51.631439857028113</v>
      </c>
      <c r="F6" s="6">
        <f>E6+PL!E38</f>
        <v>85.678028014423475</v>
      </c>
      <c r="G6" s="6">
        <f ca="1">F6+PL!F38</f>
        <v>141.85368318530647</v>
      </c>
      <c r="H6" s="6">
        <f ca="1">G6+PL!G38</f>
        <v>213.70504994287728</v>
      </c>
      <c r="I6" s="6">
        <f ca="1">H6+PL!H38</f>
        <v>301.47214840716646</v>
      </c>
    </row>
    <row r="7" spans="1:16" x14ac:dyDescent="0.25">
      <c r="A7" t="s">
        <v>70</v>
      </c>
      <c r="B7" s="6">
        <v>215</v>
      </c>
      <c r="C7" s="6">
        <v>215</v>
      </c>
      <c r="D7" s="6">
        <f>'Amortization Schedule'!N11</f>
        <v>186.25940846013862</v>
      </c>
      <c r="E7" s="6">
        <f>'Amortization Schedule'!N16</f>
        <v>154.99688859399308</v>
      </c>
      <c r="F7" s="6">
        <f>'Amortization Schedule'!N21</f>
        <v>120.991146331325</v>
      </c>
      <c r="G7" s="6">
        <f>'Amortization Schedule'!N26</f>
        <v>84.001469498291641</v>
      </c>
      <c r="H7" s="6">
        <f>'Amortization Schedule'!N31</f>
        <v>43.766023918434016</v>
      </c>
      <c r="I7" s="6">
        <f>'Amortization Schedule'!N36</f>
        <v>-3.0198066269804258E-14</v>
      </c>
    </row>
    <row r="8" spans="1:16" x14ac:dyDescent="0.25">
      <c r="A8" t="s">
        <v>297</v>
      </c>
      <c r="B8" s="6">
        <v>0</v>
      </c>
      <c r="C8" s="6">
        <f>'Project Cost'!B29</f>
        <v>50</v>
      </c>
      <c r="D8" s="6">
        <f>C8</f>
        <v>50</v>
      </c>
      <c r="E8" s="6">
        <f t="shared" ref="E8:I8" si="1">D8</f>
        <v>50</v>
      </c>
      <c r="F8" s="6">
        <f t="shared" si="1"/>
        <v>50</v>
      </c>
      <c r="G8" s="6">
        <f t="shared" si="1"/>
        <v>50</v>
      </c>
      <c r="H8" s="6">
        <f t="shared" si="1"/>
        <v>50</v>
      </c>
      <c r="I8" s="6">
        <f t="shared" si="1"/>
        <v>50</v>
      </c>
    </row>
    <row r="9" spans="1:16" x14ac:dyDescent="0.25">
      <c r="A9" t="s">
        <v>298</v>
      </c>
      <c r="B9" s="88">
        <v>0</v>
      </c>
      <c r="C9" s="88">
        <v>0</v>
      </c>
      <c r="D9" s="88">
        <v>0</v>
      </c>
      <c r="E9" s="88">
        <v>0</v>
      </c>
      <c r="F9" s="88">
        <v>0</v>
      </c>
      <c r="G9" s="88">
        <v>0</v>
      </c>
      <c r="H9" s="88">
        <v>0</v>
      </c>
      <c r="I9" s="88">
        <v>0</v>
      </c>
      <c r="J9" s="91"/>
      <c r="K9" s="91"/>
      <c r="L9" s="91"/>
      <c r="M9" s="91"/>
      <c r="N9" s="91"/>
      <c r="O9" s="91"/>
      <c r="P9" s="91"/>
    </row>
    <row r="10" spans="1:16" x14ac:dyDescent="0.25">
      <c r="A10" t="s">
        <v>299</v>
      </c>
      <c r="B10" s="6">
        <v>0</v>
      </c>
      <c r="C10" s="6">
        <f>Tax!B10</f>
        <v>0</v>
      </c>
      <c r="D10" s="6">
        <f>Tax!C10</f>
        <v>7.6698003915971595</v>
      </c>
      <c r="E10" s="6">
        <f>Tax!D10</f>
        <v>14.345313633490141</v>
      </c>
      <c r="F10" s="6">
        <f>Tax!E10</f>
        <v>18.249209826243487</v>
      </c>
      <c r="G10" s="6">
        <f ca="1">Tax!F10</f>
        <v>29.954905990709928</v>
      </c>
      <c r="H10" s="6">
        <f ca="1">Tax!G10</f>
        <v>38.533801001440622</v>
      </c>
      <c r="I10" s="6">
        <f ca="1">Tax!H10</f>
        <v>46.978268558540535</v>
      </c>
    </row>
    <row r="11" spans="1:16" x14ac:dyDescent="0.25">
      <c r="A11" t="s">
        <v>274</v>
      </c>
      <c r="B11" s="6">
        <v>0</v>
      </c>
      <c r="C11" s="6">
        <v>0</v>
      </c>
      <c r="D11" s="6">
        <v>0</v>
      </c>
      <c r="E11" s="6">
        <v>0</v>
      </c>
      <c r="F11" s="6">
        <v>0</v>
      </c>
      <c r="G11" s="6">
        <v>0</v>
      </c>
      <c r="H11" s="6">
        <v>0</v>
      </c>
      <c r="I11" s="6">
        <v>0</v>
      </c>
    </row>
    <row r="12" spans="1:16" x14ac:dyDescent="0.25">
      <c r="A12" t="s">
        <v>300</v>
      </c>
      <c r="B12" s="88">
        <v>0</v>
      </c>
      <c r="C12" s="6">
        <v>1.42</v>
      </c>
      <c r="D12" s="6">
        <v>2.25</v>
      </c>
      <c r="E12" s="6">
        <v>4.18</v>
      </c>
      <c r="F12" s="6">
        <v>6.62</v>
      </c>
      <c r="G12" s="6">
        <v>9.52</v>
      </c>
      <c r="H12" s="6">
        <v>12.57</v>
      </c>
      <c r="I12" s="6">
        <v>15.75</v>
      </c>
      <c r="J12" s="90"/>
      <c r="K12" s="90"/>
      <c r="L12" s="90"/>
      <c r="M12" s="90"/>
      <c r="N12" s="90"/>
      <c r="O12" s="90"/>
      <c r="P12" s="90"/>
    </row>
    <row r="13" spans="1:16" x14ac:dyDescent="0.25">
      <c r="A13" t="s">
        <v>152</v>
      </c>
      <c r="B13" s="6">
        <v>0</v>
      </c>
      <c r="C13" s="6">
        <f>'Working Capital'!C12</f>
        <v>5.5791666666666666</v>
      </c>
      <c r="D13" s="6">
        <f>'Working Capital'!D12</f>
        <v>9.4148437500000011</v>
      </c>
      <c r="E13" s="6">
        <f>'Working Capital'!E12</f>
        <v>10.4609375</v>
      </c>
      <c r="F13" s="6">
        <f>'Working Capital'!F12</f>
        <v>10.983984375</v>
      </c>
      <c r="G13" s="6">
        <f>'Working Capital'!G12</f>
        <v>11.507031250000002</v>
      </c>
      <c r="H13" s="6">
        <f>'Working Capital'!H12</f>
        <v>12.030078125000001</v>
      </c>
      <c r="I13" s="6">
        <f>'Working Capital'!I12</f>
        <v>12.553125000000001</v>
      </c>
    </row>
    <row r="14" spans="1:16" x14ac:dyDescent="0.25">
      <c r="A14" s="23" t="s">
        <v>130</v>
      </c>
      <c r="B14" s="27">
        <f t="shared" ref="B14:I14" si="2">SUM(B5:B13)</f>
        <v>340.39</v>
      </c>
      <c r="C14" s="27">
        <f t="shared" si="2"/>
        <v>431.07930397333337</v>
      </c>
      <c r="D14" s="27">
        <f t="shared" si="2"/>
        <v>435.93616267888757</v>
      </c>
      <c r="E14" s="27">
        <f t="shared" si="2"/>
        <v>444.68457958451137</v>
      </c>
      <c r="F14" s="27">
        <f t="shared" si="2"/>
        <v>451.59236854699196</v>
      </c>
      <c r="G14" s="27">
        <f t="shared" ca="1" si="2"/>
        <v>485.90708992430797</v>
      </c>
      <c r="H14" s="27">
        <f t="shared" ca="1" si="2"/>
        <v>529.67495298775202</v>
      </c>
      <c r="I14" s="24">
        <f t="shared" ca="1" si="2"/>
        <v>585.82354196570691</v>
      </c>
    </row>
    <row r="17" spans="1:9" x14ac:dyDescent="0.25">
      <c r="A17" s="2" t="s">
        <v>301</v>
      </c>
      <c r="B17" s="2"/>
      <c r="C17" s="2"/>
      <c r="D17" s="2"/>
      <c r="E17" s="2"/>
      <c r="F17" s="2"/>
      <c r="G17" s="2"/>
      <c r="H17" s="2"/>
      <c r="I17" s="2"/>
    </row>
    <row r="18" spans="1:9" x14ac:dyDescent="0.25">
      <c r="A18" t="s">
        <v>302</v>
      </c>
      <c r="B18" s="6">
        <f>Depreciation!D11</f>
        <v>338.90000000000003</v>
      </c>
      <c r="C18" s="6">
        <f>B18</f>
        <v>338.90000000000003</v>
      </c>
      <c r="D18" s="6">
        <f t="shared" ref="D18:I18" si="3">C18</f>
        <v>338.90000000000003</v>
      </c>
      <c r="E18" s="6">
        <f t="shared" si="3"/>
        <v>338.90000000000003</v>
      </c>
      <c r="F18" s="6">
        <f t="shared" si="3"/>
        <v>338.90000000000003</v>
      </c>
      <c r="G18" s="6">
        <f t="shared" si="3"/>
        <v>338.90000000000003</v>
      </c>
      <c r="H18" s="6">
        <f t="shared" si="3"/>
        <v>338.90000000000003</v>
      </c>
      <c r="I18" s="6">
        <f t="shared" si="3"/>
        <v>338.90000000000003</v>
      </c>
    </row>
    <row r="19" spans="1:9" x14ac:dyDescent="0.25">
      <c r="A19" t="s">
        <v>303</v>
      </c>
      <c r="B19" s="6">
        <v>0</v>
      </c>
      <c r="C19" s="6">
        <f>PL!B39</f>
        <v>25.633333333333336</v>
      </c>
      <c r="D19" s="6">
        <f>C19+PL!C39</f>
        <v>64.08471733333333</v>
      </c>
      <c r="E19" s="6">
        <f>D19+PL!D39</f>
        <v>102.53610133333333</v>
      </c>
      <c r="F19" s="6">
        <f>E19+PL!E39</f>
        <v>140.98748533333332</v>
      </c>
      <c r="G19" s="6">
        <f>F19+PL!F39</f>
        <v>179.43886933333332</v>
      </c>
      <c r="H19" s="6">
        <f>G19+PL!G39</f>
        <v>217.89025333333331</v>
      </c>
      <c r="I19" s="6">
        <f>H19+PL!H39</f>
        <v>256.34163733333332</v>
      </c>
    </row>
    <row r="20" spans="1:9" x14ac:dyDescent="0.25">
      <c r="A20" t="s">
        <v>305</v>
      </c>
      <c r="B20" s="6">
        <f>B18-B19</f>
        <v>338.90000000000003</v>
      </c>
      <c r="C20" s="6">
        <f t="shared" ref="C20:I20" si="4">C18-C19</f>
        <v>313.26666666666671</v>
      </c>
      <c r="D20" s="6">
        <f t="shared" si="4"/>
        <v>274.81528266666669</v>
      </c>
      <c r="E20" s="6">
        <f t="shared" si="4"/>
        <v>236.3638986666667</v>
      </c>
      <c r="F20" s="6">
        <f t="shared" si="4"/>
        <v>197.91251466666671</v>
      </c>
      <c r="G20" s="6">
        <f t="shared" si="4"/>
        <v>159.46113066666672</v>
      </c>
      <c r="H20" s="6">
        <f t="shared" si="4"/>
        <v>121.00974666666673</v>
      </c>
      <c r="I20" s="6">
        <f t="shared" si="4"/>
        <v>82.55836266666671</v>
      </c>
    </row>
    <row r="21" spans="1:9" x14ac:dyDescent="0.25">
      <c r="A21" t="s">
        <v>304</v>
      </c>
      <c r="B21" s="6">
        <v>0</v>
      </c>
      <c r="C21" s="6">
        <f>'Working Capital'!C10</f>
        <v>51.242333333333335</v>
      </c>
      <c r="D21" s="6">
        <f>'Working Capital'!D10</f>
        <v>74.803287499999996</v>
      </c>
      <c r="E21" s="6">
        <f>'Working Capital'!E10</f>
        <v>81.904674999999997</v>
      </c>
      <c r="F21" s="6">
        <f>'Working Capital'!F10</f>
        <v>86.241568749999999</v>
      </c>
      <c r="G21" s="6">
        <f>'Working Capital'!G10</f>
        <v>126.83</v>
      </c>
      <c r="H21" s="6">
        <f>'Working Capital'!H10</f>
        <v>134.78</v>
      </c>
      <c r="I21" s="6">
        <f>'Working Capital'!I10</f>
        <v>142.75</v>
      </c>
    </row>
    <row r="22" spans="1:9" x14ac:dyDescent="0.25">
      <c r="A22" t="s">
        <v>306</v>
      </c>
      <c r="B22" s="6">
        <f>CFS!B38</f>
        <v>0.49000000000000909</v>
      </c>
      <c r="C22" s="6">
        <f>CFS!C38</f>
        <v>45.126303973333393</v>
      </c>
      <c r="D22" s="6">
        <f>CFS!D38</f>
        <v>4.0343033447882561</v>
      </c>
      <c r="E22" s="6">
        <f>CFS!E38</f>
        <v>0.22197138525183391</v>
      </c>
      <c r="F22" s="6">
        <f>CFS!F38</f>
        <v>7.299967074756978</v>
      </c>
      <c r="G22" s="6">
        <f ca="1">CFS!G38</f>
        <v>3.2154245595079658</v>
      </c>
      <c r="H22" s="6">
        <f ca="1">CFS!H38</f>
        <v>51.277768888330542</v>
      </c>
      <c r="I22" s="6">
        <f ca="1">CFS!I38</f>
        <v>118.88919261647615</v>
      </c>
    </row>
    <row r="23" spans="1:9" x14ac:dyDescent="0.25">
      <c r="A23" t="s">
        <v>307</v>
      </c>
      <c r="B23" s="6">
        <v>0</v>
      </c>
      <c r="C23" s="6">
        <v>0</v>
      </c>
      <c r="D23" s="6">
        <v>0</v>
      </c>
      <c r="E23" s="6">
        <v>0</v>
      </c>
      <c r="F23" s="6">
        <v>0</v>
      </c>
      <c r="G23" s="6">
        <v>0</v>
      </c>
      <c r="H23" s="6">
        <v>0</v>
      </c>
      <c r="I23" s="6">
        <v>0</v>
      </c>
    </row>
    <row r="24" spans="1:9" x14ac:dyDescent="0.25">
      <c r="A24" t="s">
        <v>309</v>
      </c>
      <c r="B24" s="6">
        <v>0</v>
      </c>
      <c r="C24" s="6">
        <f>Tax!B10</f>
        <v>0</v>
      </c>
      <c r="D24" s="6">
        <f>Tax!C10</f>
        <v>7.6698003915971595</v>
      </c>
      <c r="E24" s="6">
        <f>Tax!D10</f>
        <v>14.345313633490141</v>
      </c>
      <c r="F24" s="6">
        <f>Tax!E10</f>
        <v>18.249209826243487</v>
      </c>
      <c r="G24" s="6">
        <f ca="1">Tax!F10</f>
        <v>29.954905990709928</v>
      </c>
      <c r="H24" s="6">
        <f ca="1">Tax!G10</f>
        <v>38.533801001440622</v>
      </c>
      <c r="I24" s="6">
        <f ca="1">Tax!H10</f>
        <v>46.978268558540535</v>
      </c>
    </row>
    <row r="25" spans="1:9" hidden="1" x14ac:dyDescent="0.25">
      <c r="A25" t="s">
        <v>308</v>
      </c>
      <c r="B25" s="6">
        <v>0</v>
      </c>
      <c r="C25" s="6">
        <f>'Salary &amp; Wages'!D21</f>
        <v>4.24</v>
      </c>
      <c r="D25" s="6">
        <f>'Salary &amp; Wages'!E21</f>
        <v>43.24</v>
      </c>
      <c r="E25" s="6">
        <f>'Salary &amp; Wages'!F21</f>
        <v>77.2</v>
      </c>
      <c r="F25" s="6">
        <f>'Salary &amp; Wages'!G21</f>
        <v>105.7</v>
      </c>
      <c r="G25" s="6">
        <f>'Salary &amp; Wages'!H21</f>
        <v>128.19999999999999</v>
      </c>
      <c r="H25" s="6">
        <f>'Salary &amp; Wages'!I21</f>
        <v>144.19999999999999</v>
      </c>
      <c r="I25" s="6">
        <f>'Salary &amp; Wages'!J21</f>
        <v>153.15</v>
      </c>
    </row>
    <row r="26" spans="1:9" x14ac:dyDescent="0.25">
      <c r="A26" t="s">
        <v>285</v>
      </c>
      <c r="B26" s="6">
        <v>0</v>
      </c>
      <c r="C26" s="6">
        <f>'Working Capital'!C8</f>
        <v>16.344000000000001</v>
      </c>
      <c r="D26" s="6">
        <f>'Working Capital'!D8</f>
        <v>30.653599999999997</v>
      </c>
      <c r="E26" s="6">
        <f>'Working Capital'!E8</f>
        <v>34.072800000000008</v>
      </c>
      <c r="F26" s="6">
        <f>'Working Capital'!F8</f>
        <v>35.7836</v>
      </c>
      <c r="G26" s="6">
        <f ca="1">'Working Capital'!G8</f>
        <v>37.9784022886071</v>
      </c>
      <c r="H26" s="6">
        <f ca="1">'Working Capital'!H8</f>
        <v>39.736229316654651</v>
      </c>
      <c r="I26" s="6">
        <f ca="1">'Working Capital'!I8</f>
        <v>41.501286990673989</v>
      </c>
    </row>
    <row r="27" spans="1:9" x14ac:dyDescent="0.25">
      <c r="A27" t="s">
        <v>310</v>
      </c>
      <c r="B27" s="6">
        <v>0</v>
      </c>
      <c r="C27" s="6">
        <v>0</v>
      </c>
      <c r="D27" s="6">
        <v>0</v>
      </c>
      <c r="E27" s="6">
        <v>0</v>
      </c>
      <c r="F27" s="6">
        <v>0</v>
      </c>
      <c r="G27" s="6">
        <v>0</v>
      </c>
      <c r="H27" s="6">
        <v>0</v>
      </c>
      <c r="I27" s="6">
        <v>0</v>
      </c>
    </row>
    <row r="28" spans="1:9" x14ac:dyDescent="0.25">
      <c r="A28" t="s">
        <v>311</v>
      </c>
      <c r="B28" s="6">
        <v>1</v>
      </c>
      <c r="C28" s="6">
        <f>B28-0.14</f>
        <v>0.86</v>
      </c>
      <c r="D28" s="6">
        <f>C28-0.14</f>
        <v>0.72</v>
      </c>
      <c r="E28" s="6">
        <f>D28-0.14</f>
        <v>0.57999999999999996</v>
      </c>
      <c r="F28" s="6">
        <f>E28-0.16</f>
        <v>0.41999999999999993</v>
      </c>
      <c r="G28" s="6">
        <f>F28-0.14</f>
        <v>0.27999999999999992</v>
      </c>
      <c r="H28" s="6">
        <f>G28-0.14</f>
        <v>0.1399999999999999</v>
      </c>
      <c r="I28" s="6">
        <v>0</v>
      </c>
    </row>
    <row r="29" spans="1:9" x14ac:dyDescent="0.25">
      <c r="A29" s="23" t="s">
        <v>130</v>
      </c>
      <c r="B29" s="27">
        <f t="shared" ref="B29:I29" si="5">SUM(B20:B28)</f>
        <v>340.39000000000004</v>
      </c>
      <c r="C29" s="27">
        <f t="shared" si="5"/>
        <v>431.07930397333342</v>
      </c>
      <c r="D29" s="27">
        <f t="shared" si="5"/>
        <v>435.93627390305215</v>
      </c>
      <c r="E29" s="27">
        <f t="shared" si="5"/>
        <v>444.68865868540871</v>
      </c>
      <c r="F29" s="27">
        <f t="shared" si="5"/>
        <v>451.60686031766716</v>
      </c>
      <c r="G29" s="27">
        <f t="shared" ca="1" si="5"/>
        <v>485.91986350549166</v>
      </c>
      <c r="H29" s="27">
        <f t="shared" ca="1" si="5"/>
        <v>529.67754587309253</v>
      </c>
      <c r="I29" s="24">
        <f t="shared" ca="1" si="5"/>
        <v>585.82711083235733</v>
      </c>
    </row>
    <row r="31" spans="1:9" x14ac:dyDescent="0.25">
      <c r="B31" s="87">
        <f t="shared" ref="B31:I31" si="6">B29-B14</f>
        <v>0</v>
      </c>
      <c r="C31" s="87">
        <f t="shared" si="6"/>
        <v>0</v>
      </c>
      <c r="D31" s="87">
        <f t="shared" si="6"/>
        <v>1.1122416458420048E-4</v>
      </c>
      <c r="E31" s="97">
        <f t="shared" si="6"/>
        <v>4.0791008973428688E-3</v>
      </c>
      <c r="F31" s="97">
        <f t="shared" si="6"/>
        <v>1.4491770675192583E-2</v>
      </c>
      <c r="G31" s="97">
        <f t="shared" ca="1" si="6"/>
        <v>1.2773581183694205E-2</v>
      </c>
      <c r="H31" s="97">
        <f t="shared" ca="1" si="6"/>
        <v>2.5928853405048358E-3</v>
      </c>
      <c r="I31" s="87">
        <f t="shared" ca="1" si="6"/>
        <v>3.5688666504256616E-3</v>
      </c>
    </row>
    <row r="32" spans="1:9" x14ac:dyDescent="0.25">
      <c r="C32" s="34"/>
      <c r="D32" s="34"/>
      <c r="E32" s="34"/>
      <c r="F32" s="34"/>
      <c r="G32" s="34"/>
      <c r="H32" s="34"/>
      <c r="I32" s="34"/>
    </row>
    <row r="33" spans="3:9" x14ac:dyDescent="0.25">
      <c r="C33" s="34"/>
      <c r="D33" s="34"/>
      <c r="E33" s="34"/>
      <c r="F33" s="34"/>
      <c r="G33" s="34"/>
      <c r="H33" s="34"/>
      <c r="I33" s="34"/>
    </row>
    <row r="34" spans="3:9" x14ac:dyDescent="0.25">
      <c r="C34" s="5"/>
      <c r="D34" s="5"/>
      <c r="E34" s="5"/>
      <c r="F34" s="92"/>
      <c r="G34" s="5"/>
      <c r="H34" s="5"/>
      <c r="I34" s="89"/>
    </row>
    <row r="35" spans="3:9" x14ac:dyDescent="0.25">
      <c r="C35" s="5"/>
      <c r="D35" s="5"/>
      <c r="E35" s="92"/>
      <c r="F35" s="92"/>
      <c r="G35" s="5"/>
      <c r="H35" s="5"/>
      <c r="I35" s="8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Basic Details</vt:lpstr>
      <vt:lpstr>Break-Even Sales</vt:lpstr>
      <vt:lpstr>P&amp;L (Hist)</vt:lpstr>
      <vt:lpstr>BS (Hist)</vt:lpstr>
      <vt:lpstr>Ratio</vt:lpstr>
      <vt:lpstr>PL</vt:lpstr>
      <vt:lpstr>Sales Realisation</vt:lpstr>
      <vt:lpstr>Raw Material</vt:lpstr>
      <vt:lpstr>BS</vt:lpstr>
      <vt:lpstr>CFS</vt:lpstr>
      <vt:lpstr>Working Capital</vt:lpstr>
      <vt:lpstr>Project Cost</vt:lpstr>
      <vt:lpstr>IRR</vt:lpstr>
      <vt:lpstr>DSCR</vt:lpstr>
      <vt:lpstr>Tax</vt:lpstr>
      <vt:lpstr>Plant and Machinery</vt:lpstr>
      <vt:lpstr>Contingencies</vt:lpstr>
      <vt:lpstr>Power Expenses</vt:lpstr>
      <vt:lpstr>Salary &amp; Wages</vt:lpstr>
      <vt:lpstr>Amortization Schedule</vt:lpstr>
      <vt:lpstr>Depreciation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Gaurav Kumar</cp:lastModifiedBy>
  <dcterms:created xsi:type="dcterms:W3CDTF">2022-12-01T04:46:40Z</dcterms:created>
  <dcterms:modified xsi:type="dcterms:W3CDTF">2023-01-12T09:38:31Z</dcterms:modified>
</cp:coreProperties>
</file>