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filterPrivacy="1" defaultThemeVersion="124226"/>
  <xr:revisionPtr revIDLastSave="0" documentId="13_ncr:1_{936B7E49-31DD-4942-910F-C9FE5DAC98F6}" xr6:coauthVersionLast="47" xr6:coauthVersionMax="47" xr10:uidLastSave="{00000000-0000-0000-0000-000000000000}"/>
  <bookViews>
    <workbookView xWindow="-120" yWindow="-120" windowWidth="21840" windowHeight="13140" firstSheet="2" activeTab="8" xr2:uid="{00000000-000D-0000-FFFF-FFFF00000000}"/>
  </bookViews>
  <sheets>
    <sheet name="BS" sheetId="8" r:id="rId1"/>
    <sheet name="P&amp;L" sheetId="7" r:id="rId2"/>
    <sheet name="CFS" sheetId="9" r:id="rId3"/>
    <sheet name="Sheet2" sheetId="11" state="hidden" r:id="rId4"/>
    <sheet name="Sheet3" sheetId="13" r:id="rId5"/>
    <sheet name="DCF Valuation (1)" sheetId="14" r:id="rId6"/>
    <sheet name="DCF Valuation (2)" sheetId="15" r:id="rId7"/>
    <sheet name="DCF Valuation (3)" sheetId="12" r:id="rId8"/>
    <sheet name="Discount Rate" sheetId="16" r:id="rId9"/>
    <sheet name="Relative Valuation RK" sheetId="10" state="hidden" r:id="rId10"/>
  </sheets>
  <calcPr calcId="181029"/>
</workbook>
</file>

<file path=xl/calcChain.xml><?xml version="1.0" encoding="utf-8"?>
<calcChain xmlns="http://schemas.openxmlformats.org/spreadsheetml/2006/main">
  <c r="C5" i="13" l="1"/>
  <c r="C6" i="13" s="1"/>
  <c r="C7" i="13" l="1"/>
  <c r="C19" i="16"/>
  <c r="C16" i="16"/>
  <c r="I7" i="14"/>
  <c r="J7" i="14" s="1"/>
  <c r="K7" i="14" s="1"/>
  <c r="L7" i="14" s="1"/>
  <c r="H7" i="14"/>
  <c r="I7" i="12"/>
  <c r="J7" i="12" s="1"/>
  <c r="K7" i="12" s="1"/>
  <c r="L7" i="12" s="1"/>
  <c r="H7" i="12"/>
  <c r="I7" i="15"/>
  <c r="J7" i="15" s="1"/>
  <c r="K7" i="15" s="1"/>
  <c r="L7" i="15" s="1"/>
  <c r="Q15" i="12"/>
  <c r="H7" i="15"/>
  <c r="H26" i="12"/>
  <c r="P15" i="12"/>
  <c r="G55" i="11"/>
  <c r="H55" i="11"/>
  <c r="I55" i="11"/>
  <c r="C7" i="16"/>
  <c r="H24" i="15" s="1"/>
  <c r="H24" i="12" l="1"/>
  <c r="H24" i="14"/>
  <c r="R7" i="12"/>
  <c r="S7" i="12" s="1"/>
  <c r="T7" i="12" s="1"/>
  <c r="U7" i="12" s="1"/>
  <c r="R7" i="15"/>
  <c r="S7" i="15" s="1"/>
  <c r="T7" i="15" s="1"/>
  <c r="U7" i="15" s="1"/>
  <c r="K10" i="7"/>
  <c r="L10" i="7"/>
  <c r="M10" i="7"/>
  <c r="N10" i="7"/>
  <c r="J10" i="7"/>
  <c r="H26" i="15"/>
  <c r="M18" i="15"/>
  <c r="L18" i="15"/>
  <c r="K18" i="15"/>
  <c r="J18" i="15"/>
  <c r="I18" i="15"/>
  <c r="H18" i="15"/>
  <c r="G13" i="15"/>
  <c r="F13" i="15"/>
  <c r="E13" i="15"/>
  <c r="D13" i="15"/>
  <c r="C13" i="15"/>
  <c r="U9" i="15"/>
  <c r="T9" i="15"/>
  <c r="S9" i="15"/>
  <c r="R9" i="15"/>
  <c r="Q9" i="15"/>
  <c r="U8" i="15"/>
  <c r="T8" i="15"/>
  <c r="S8" i="15"/>
  <c r="R8" i="15"/>
  <c r="Q8" i="15"/>
  <c r="V8" i="15" s="1"/>
  <c r="G8" i="15"/>
  <c r="F8" i="15"/>
  <c r="E8" i="15"/>
  <c r="D8" i="15"/>
  <c r="D14" i="15" s="1"/>
  <c r="D16" i="15" s="1"/>
  <c r="C8" i="15"/>
  <c r="C14" i="15" s="1"/>
  <c r="C16" i="15" s="1"/>
  <c r="D6" i="15"/>
  <c r="E6" i="15" s="1"/>
  <c r="F6" i="15" s="1"/>
  <c r="G6" i="15" s="1"/>
  <c r="H6" i="15" s="1"/>
  <c r="I6" i="15" s="1"/>
  <c r="J6" i="15" s="1"/>
  <c r="K6" i="15" s="1"/>
  <c r="L6" i="15" s="1"/>
  <c r="H26" i="14"/>
  <c r="M18" i="14"/>
  <c r="L18" i="14"/>
  <c r="K18" i="14"/>
  <c r="J18" i="14"/>
  <c r="I18" i="14"/>
  <c r="H18" i="14"/>
  <c r="G13" i="14"/>
  <c r="F13" i="14"/>
  <c r="E13" i="14"/>
  <c r="D13" i="14"/>
  <c r="C13" i="14"/>
  <c r="U9" i="14"/>
  <c r="T9" i="14"/>
  <c r="S9" i="14"/>
  <c r="R9" i="14"/>
  <c r="Q9" i="14"/>
  <c r="U8" i="14"/>
  <c r="T8" i="14"/>
  <c r="S8" i="14"/>
  <c r="R8" i="14"/>
  <c r="Q8" i="14"/>
  <c r="G8" i="14"/>
  <c r="F8" i="14"/>
  <c r="E8" i="14"/>
  <c r="E9" i="14" s="1"/>
  <c r="D8" i="14"/>
  <c r="C8" i="14"/>
  <c r="C14" i="14" s="1"/>
  <c r="C16" i="14" s="1"/>
  <c r="R7" i="14"/>
  <c r="S7" i="14" s="1"/>
  <c r="T7" i="14" s="1"/>
  <c r="U7" i="14" s="1"/>
  <c r="D6" i="14"/>
  <c r="E6" i="14" s="1"/>
  <c r="F6" i="14" s="1"/>
  <c r="G6" i="14" s="1"/>
  <c r="H6" i="14" s="1"/>
  <c r="I6" i="14" s="1"/>
  <c r="J6" i="14" s="1"/>
  <c r="K6" i="14" s="1"/>
  <c r="L6" i="14" s="1"/>
  <c r="R10" i="12"/>
  <c r="Q10" i="12"/>
  <c r="Q9" i="12"/>
  <c r="R9" i="12"/>
  <c r="S9" i="12"/>
  <c r="T9" i="12"/>
  <c r="U9" i="12"/>
  <c r="R8" i="12"/>
  <c r="S8" i="12"/>
  <c r="T8" i="12"/>
  <c r="U8" i="12"/>
  <c r="Q8" i="12"/>
  <c r="J12" i="7"/>
  <c r="K12" i="7"/>
  <c r="L12" i="7"/>
  <c r="M12" i="7"/>
  <c r="N12" i="7"/>
  <c r="J13" i="7"/>
  <c r="K13" i="7"/>
  <c r="L13" i="7"/>
  <c r="M13" i="7"/>
  <c r="N13" i="7"/>
  <c r="K11" i="7"/>
  <c r="L11" i="7"/>
  <c r="M11" i="7"/>
  <c r="N11" i="7"/>
  <c r="J11" i="7"/>
  <c r="L15" i="7"/>
  <c r="M15" i="7"/>
  <c r="N15" i="7"/>
  <c r="K15" i="7"/>
  <c r="K18" i="7"/>
  <c r="K19" i="7" s="1"/>
  <c r="R10" i="15" s="1"/>
  <c r="L18" i="7"/>
  <c r="L19" i="7" s="1"/>
  <c r="M18" i="7"/>
  <c r="M19" i="7" s="1"/>
  <c r="N18" i="7"/>
  <c r="N19" i="7" s="1"/>
  <c r="U10" i="15" s="1"/>
  <c r="J18" i="7"/>
  <c r="J19" i="7" s="1"/>
  <c r="Q10" i="15" s="1"/>
  <c r="K16" i="7"/>
  <c r="L16" i="7"/>
  <c r="M16" i="7"/>
  <c r="N16" i="7"/>
  <c r="J16" i="7"/>
  <c r="K19" i="8"/>
  <c r="L19" i="8" s="1"/>
  <c r="M19" i="8" s="1"/>
  <c r="N19" i="8" s="1"/>
  <c r="K20" i="8"/>
  <c r="L20" i="8"/>
  <c r="M20" i="8"/>
  <c r="N20" i="8"/>
  <c r="J20" i="8"/>
  <c r="C4" i="13"/>
  <c r="D4" i="13" s="1"/>
  <c r="E4" i="13" s="1"/>
  <c r="F4" i="13" s="1"/>
  <c r="G4" i="13" s="1"/>
  <c r="E14" i="15" l="1"/>
  <c r="E16" i="15" s="1"/>
  <c r="H27" i="14"/>
  <c r="V9" i="15"/>
  <c r="F14" i="15"/>
  <c r="F16" i="15" s="1"/>
  <c r="F14" i="14"/>
  <c r="F16" i="14" s="1"/>
  <c r="G9" i="15"/>
  <c r="G14" i="15"/>
  <c r="G16" i="15" s="1"/>
  <c r="V9" i="14"/>
  <c r="D9" i="15"/>
  <c r="G9" i="14"/>
  <c r="E14" i="14"/>
  <c r="E16" i="14" s="1"/>
  <c r="D14" i="14"/>
  <c r="D16" i="14" s="1"/>
  <c r="V8" i="14"/>
  <c r="H8" i="15"/>
  <c r="H8" i="14"/>
  <c r="S10" i="15"/>
  <c r="V10" i="15" s="1"/>
  <c r="S10" i="14"/>
  <c r="S10" i="12"/>
  <c r="T10" i="14"/>
  <c r="T10" i="12"/>
  <c r="T10" i="15"/>
  <c r="U10" i="12"/>
  <c r="Q10" i="14"/>
  <c r="U10" i="14"/>
  <c r="R10" i="14"/>
  <c r="V10" i="12"/>
  <c r="E9" i="15"/>
  <c r="H27" i="15"/>
  <c r="I26" i="15"/>
  <c r="F9" i="15"/>
  <c r="D9" i="14"/>
  <c r="G14" i="14"/>
  <c r="G16" i="14" s="1"/>
  <c r="F9" i="14"/>
  <c r="I26" i="14"/>
  <c r="K21" i="8"/>
  <c r="K22" i="8" s="1"/>
  <c r="L21" i="8"/>
  <c r="M21" i="8"/>
  <c r="M22" i="8" s="1"/>
  <c r="N21" i="8"/>
  <c r="N22" i="8" s="1"/>
  <c r="J21" i="8"/>
  <c r="H27" i="12"/>
  <c r="M18" i="12"/>
  <c r="H11" i="15" l="1"/>
  <c r="V10" i="14"/>
  <c r="H12" i="14" s="1"/>
  <c r="H10" i="15"/>
  <c r="I8" i="15"/>
  <c r="I11" i="15" s="1"/>
  <c r="J8" i="15"/>
  <c r="H10" i="14"/>
  <c r="H11" i="14"/>
  <c r="I8" i="14"/>
  <c r="H12" i="15"/>
  <c r="I27" i="15"/>
  <c r="J26" i="15"/>
  <c r="I27" i="14"/>
  <c r="J26" i="14"/>
  <c r="J8" i="14"/>
  <c r="L22" i="8"/>
  <c r="K23" i="8" s="1"/>
  <c r="I10" i="15" l="1"/>
  <c r="H13" i="15"/>
  <c r="H14" i="15" s="1"/>
  <c r="H13" i="14"/>
  <c r="H14" i="14" s="1"/>
  <c r="I12" i="15"/>
  <c r="I10" i="14"/>
  <c r="I11" i="14"/>
  <c r="I12" i="14"/>
  <c r="H15" i="14"/>
  <c r="H20" i="14" s="1"/>
  <c r="H15" i="15"/>
  <c r="J12" i="15"/>
  <c r="J11" i="15"/>
  <c r="J10" i="15"/>
  <c r="J27" i="15"/>
  <c r="K26" i="15"/>
  <c r="J12" i="14"/>
  <c r="J11" i="14"/>
  <c r="J10" i="14"/>
  <c r="J27" i="14"/>
  <c r="K26" i="14"/>
  <c r="K8" i="14"/>
  <c r="D5" i="13"/>
  <c r="D6" i="13" s="1"/>
  <c r="H15" i="12"/>
  <c r="I13" i="15" l="1"/>
  <c r="I14" i="15" s="1"/>
  <c r="K8" i="15"/>
  <c r="K10" i="15" s="1"/>
  <c r="J13" i="14"/>
  <c r="J14" i="14" s="1"/>
  <c r="I13" i="14"/>
  <c r="I14" i="14" s="1"/>
  <c r="J13" i="15"/>
  <c r="J14" i="15" s="1"/>
  <c r="H20" i="15"/>
  <c r="H16" i="15"/>
  <c r="H19" i="15" s="1"/>
  <c r="I15" i="14"/>
  <c r="I15" i="15"/>
  <c r="H16" i="14"/>
  <c r="H19" i="14" s="1"/>
  <c r="L26" i="15"/>
  <c r="L27" i="15" s="1"/>
  <c r="K27" i="15"/>
  <c r="L8" i="15"/>
  <c r="M7" i="14"/>
  <c r="L8" i="14"/>
  <c r="K10" i="14"/>
  <c r="K12" i="14"/>
  <c r="K11" i="14"/>
  <c r="K27" i="14"/>
  <c r="L26" i="14"/>
  <c r="L27" i="14" s="1"/>
  <c r="D7" i="13"/>
  <c r="E5" i="13" s="1"/>
  <c r="E6" i="13" s="1"/>
  <c r="I15" i="12"/>
  <c r="K11" i="15" l="1"/>
  <c r="H23" i="14"/>
  <c r="H29" i="14" s="1"/>
  <c r="H31" i="14" s="1"/>
  <c r="H23" i="15"/>
  <c r="H29" i="15" s="1"/>
  <c r="H31" i="15" s="1"/>
  <c r="M7" i="15"/>
  <c r="K12" i="15"/>
  <c r="K13" i="15" s="1"/>
  <c r="K14" i="15" s="1"/>
  <c r="J15" i="15"/>
  <c r="J15" i="14"/>
  <c r="I20" i="15"/>
  <c r="I16" i="15"/>
  <c r="I19" i="15" s="1"/>
  <c r="K13" i="14"/>
  <c r="K14" i="14" s="1"/>
  <c r="I20" i="14"/>
  <c r="I16" i="14"/>
  <c r="I19" i="14" s="1"/>
  <c r="I23" i="14" s="1"/>
  <c r="L10" i="15"/>
  <c r="L12" i="15"/>
  <c r="L11" i="15"/>
  <c r="L12" i="14"/>
  <c r="L11" i="14"/>
  <c r="L10" i="14"/>
  <c r="M8" i="14"/>
  <c r="E7" i="13"/>
  <c r="F5" i="13" s="1"/>
  <c r="F6" i="13" s="1"/>
  <c r="J15" i="12"/>
  <c r="I23" i="15" l="1"/>
  <c r="I29" i="15"/>
  <c r="I31" i="15" s="1"/>
  <c r="M8" i="15"/>
  <c r="M11" i="15" s="1"/>
  <c r="I29" i="14"/>
  <c r="I31" i="14" s="1"/>
  <c r="K15" i="14"/>
  <c r="K20" i="14" s="1"/>
  <c r="K15" i="15"/>
  <c r="K20" i="15" s="1"/>
  <c r="L13" i="15"/>
  <c r="L14" i="15" s="1"/>
  <c r="J20" i="14"/>
  <c r="J16" i="14"/>
  <c r="J19" i="14" s="1"/>
  <c r="L13" i="14"/>
  <c r="L14" i="14" s="1"/>
  <c r="J20" i="15"/>
  <c r="J16" i="15"/>
  <c r="J19" i="15" s="1"/>
  <c r="M10" i="14"/>
  <c r="M12" i="14"/>
  <c r="M11" i="14"/>
  <c r="F7" i="13"/>
  <c r="G5" i="13" s="1"/>
  <c r="G6" i="13" s="1"/>
  <c r="K15" i="12"/>
  <c r="J23" i="14" l="1"/>
  <c r="J23" i="15"/>
  <c r="J29" i="15" s="1"/>
  <c r="J31" i="15" s="1"/>
  <c r="M12" i="15"/>
  <c r="K16" i="14"/>
  <c r="K19" i="14" s="1"/>
  <c r="M10" i="15"/>
  <c r="J29" i="14"/>
  <c r="J31" i="14" s="1"/>
  <c r="K16" i="15"/>
  <c r="K19" i="15" s="1"/>
  <c r="M13" i="14"/>
  <c r="M14" i="14" s="1"/>
  <c r="L15" i="14"/>
  <c r="L16" i="14" s="1"/>
  <c r="L19" i="14" s="1"/>
  <c r="L15" i="15"/>
  <c r="G7" i="13"/>
  <c r="L15" i="12"/>
  <c r="M15" i="12" s="1"/>
  <c r="K23" i="14" l="1"/>
  <c r="K29" i="14" s="1"/>
  <c r="K31" i="14" s="1"/>
  <c r="M13" i="15"/>
  <c r="M14" i="15" s="1"/>
  <c r="K23" i="15"/>
  <c r="K29" i="15" s="1"/>
  <c r="K31" i="15" s="1"/>
  <c r="L20" i="15"/>
  <c r="M15" i="15"/>
  <c r="M20" i="15" s="1"/>
  <c r="L20" i="14"/>
  <c r="M15" i="14"/>
  <c r="M20" i="14" s="1"/>
  <c r="L16" i="15"/>
  <c r="L19" i="15" s="1"/>
  <c r="I18" i="12"/>
  <c r="J18" i="12"/>
  <c r="K18" i="12"/>
  <c r="L18" i="12"/>
  <c r="H18" i="12"/>
  <c r="L23" i="14" l="1"/>
  <c r="L29" i="14" s="1"/>
  <c r="L23" i="15"/>
  <c r="L29" i="15" s="1"/>
  <c r="M16" i="14"/>
  <c r="M19" i="14" s="1"/>
  <c r="M16" i="15"/>
  <c r="M19" i="15" s="1"/>
  <c r="I26" i="12"/>
  <c r="I27" i="12" s="1"/>
  <c r="M23" i="14" l="1"/>
  <c r="L28" i="14" s="1"/>
  <c r="L30" i="14" s="1"/>
  <c r="L31" i="14" s="1"/>
  <c r="H32" i="14" s="1"/>
  <c r="M23" i="15"/>
  <c r="L28" i="15" s="1"/>
  <c r="L30" i="15" s="1"/>
  <c r="L31" i="15" s="1"/>
  <c r="H32" i="15" s="1"/>
  <c r="J26" i="12"/>
  <c r="J27" i="12" s="1"/>
  <c r="G13" i="12"/>
  <c r="F13" i="12"/>
  <c r="E13" i="12"/>
  <c r="D13" i="12"/>
  <c r="C13" i="12"/>
  <c r="G8" i="12"/>
  <c r="F8" i="12"/>
  <c r="E8" i="12"/>
  <c r="D8" i="12"/>
  <c r="C8" i="12"/>
  <c r="D6" i="12"/>
  <c r="E6" i="12" s="1"/>
  <c r="F6" i="12" s="1"/>
  <c r="G6" i="12" s="1"/>
  <c r="H6" i="12" s="1"/>
  <c r="I6" i="12" s="1"/>
  <c r="J6" i="12" s="1"/>
  <c r="K6" i="12" s="1"/>
  <c r="L6" i="12" s="1"/>
  <c r="K15" i="10"/>
  <c r="J9" i="10"/>
  <c r="J10" i="10"/>
  <c r="J11" i="10"/>
  <c r="J12" i="10"/>
  <c r="J13" i="10"/>
  <c r="J8" i="10"/>
  <c r="K60" i="8"/>
  <c r="J60" i="8"/>
  <c r="H60" i="8"/>
  <c r="H57" i="8"/>
  <c r="H55" i="8"/>
  <c r="H54" i="8"/>
  <c r="H33" i="8"/>
  <c r="H34" i="8" s="1"/>
  <c r="H24" i="8"/>
  <c r="H32" i="8"/>
  <c r="H27" i="8"/>
  <c r="H21" i="8"/>
  <c r="J43" i="11"/>
  <c r="I43" i="11"/>
  <c r="H43" i="11"/>
  <c r="G43" i="11"/>
  <c r="F43" i="11"/>
  <c r="J35" i="11"/>
  <c r="I35" i="11"/>
  <c r="H35" i="11"/>
  <c r="G35" i="11"/>
  <c r="F35" i="11"/>
  <c r="J30" i="11"/>
  <c r="I30" i="11"/>
  <c r="H30" i="11"/>
  <c r="H36" i="11" s="1"/>
  <c r="H38" i="11" s="1"/>
  <c r="H40" i="11" s="1"/>
  <c r="G30" i="11"/>
  <c r="F30" i="11"/>
  <c r="G27" i="11"/>
  <c r="H27" i="11" s="1"/>
  <c r="I27" i="11" s="1"/>
  <c r="J27" i="11" s="1"/>
  <c r="H8" i="12" l="1"/>
  <c r="H12" i="12" s="1"/>
  <c r="K26" i="12"/>
  <c r="K27" i="12" s="1"/>
  <c r="F14" i="12"/>
  <c r="F16" i="12" s="1"/>
  <c r="C14" i="12"/>
  <c r="C16" i="12" s="1"/>
  <c r="G9" i="12"/>
  <c r="G14" i="12"/>
  <c r="G16" i="12" s="1"/>
  <c r="F9" i="12"/>
  <c r="E9" i="12"/>
  <c r="D9" i="12"/>
  <c r="D14" i="12"/>
  <c r="E14" i="12"/>
  <c r="F36" i="11"/>
  <c r="F38" i="11" s="1"/>
  <c r="F40" i="11" s="1"/>
  <c r="F44" i="11" s="1"/>
  <c r="J36" i="11"/>
  <c r="J38" i="11" s="1"/>
  <c r="J40" i="11" s="1"/>
  <c r="J44" i="11" s="1"/>
  <c r="H44" i="11"/>
  <c r="I36" i="11"/>
  <c r="I38" i="11" s="1"/>
  <c r="I40" i="11" s="1"/>
  <c r="I44" i="11" s="1"/>
  <c r="G36" i="11"/>
  <c r="G38" i="11" s="1"/>
  <c r="G40" i="11" s="1"/>
  <c r="G44" i="11" s="1"/>
  <c r="I20" i="10"/>
  <c r="H20" i="10"/>
  <c r="I8" i="12" l="1"/>
  <c r="H20" i="12"/>
  <c r="L26" i="12"/>
  <c r="L27" i="12" s="1"/>
  <c r="V8" i="12"/>
  <c r="H10" i="12" s="1"/>
  <c r="V9" i="12"/>
  <c r="H11" i="12" s="1"/>
  <c r="D16" i="12"/>
  <c r="E16" i="12"/>
  <c r="J15" i="10"/>
  <c r="D20" i="10" s="1"/>
  <c r="D23" i="10" s="1"/>
  <c r="D29" i="10" s="1"/>
  <c r="D18" i="10"/>
  <c r="J16" i="10"/>
  <c r="D19" i="10" s="1"/>
  <c r="D25" i="10" s="1"/>
  <c r="D31" i="10" s="1"/>
  <c r="E20" i="10"/>
  <c r="E23" i="10" s="1"/>
  <c r="B9" i="10"/>
  <c r="J11" i="8"/>
  <c r="J12" i="8" s="1"/>
  <c r="K11" i="8"/>
  <c r="K12" i="8" s="1"/>
  <c r="L11" i="8"/>
  <c r="L13" i="8" s="1"/>
  <c r="M11" i="8"/>
  <c r="M13" i="8" s="1"/>
  <c r="I11" i="8"/>
  <c r="I12" i="8" s="1"/>
  <c r="J10" i="8"/>
  <c r="K10" i="8"/>
  <c r="L10" i="8"/>
  <c r="M10" i="8"/>
  <c r="I10" i="8"/>
  <c r="M8" i="8"/>
  <c r="K9" i="7"/>
  <c r="L9" i="7" s="1"/>
  <c r="M9" i="7" s="1"/>
  <c r="N9" i="7" s="1"/>
  <c r="J14" i="7"/>
  <c r="K14" i="7"/>
  <c r="L14" i="7"/>
  <c r="M14" i="7"/>
  <c r="N14" i="7"/>
  <c r="C9" i="7"/>
  <c r="D6" i="7"/>
  <c r="E6" i="7" s="1"/>
  <c r="F6" i="7" s="1"/>
  <c r="G6" i="7" s="1"/>
  <c r="D14" i="7"/>
  <c r="E14" i="7"/>
  <c r="F14" i="7"/>
  <c r="G14" i="7"/>
  <c r="C14" i="7"/>
  <c r="E33" i="7"/>
  <c r="F33" i="7"/>
  <c r="G33" i="7"/>
  <c r="D33" i="7"/>
  <c r="D11" i="9"/>
  <c r="E11" i="9"/>
  <c r="F11" i="9"/>
  <c r="G11" i="9"/>
  <c r="C11" i="9"/>
  <c r="D53" i="9"/>
  <c r="E53" i="9"/>
  <c r="F53" i="9"/>
  <c r="G53" i="9"/>
  <c r="D45" i="9"/>
  <c r="E45" i="9"/>
  <c r="F45" i="9"/>
  <c r="G45" i="9"/>
  <c r="D10" i="9"/>
  <c r="E10" i="9"/>
  <c r="F10" i="9"/>
  <c r="G10" i="9"/>
  <c r="C10" i="9"/>
  <c r="D21" i="8"/>
  <c r="E21" i="8"/>
  <c r="F21" i="8"/>
  <c r="G21" i="8"/>
  <c r="D47" i="8"/>
  <c r="E47" i="8"/>
  <c r="F47" i="8"/>
  <c r="G47" i="8"/>
  <c r="E41" i="8"/>
  <c r="F41" i="8"/>
  <c r="G41" i="8"/>
  <c r="E60" i="8"/>
  <c r="F60" i="8"/>
  <c r="G60" i="8"/>
  <c r="D27" i="7"/>
  <c r="E27" i="7"/>
  <c r="F27" i="7"/>
  <c r="G27" i="7"/>
  <c r="C27" i="7"/>
  <c r="C22" i="7"/>
  <c r="D22" i="7"/>
  <c r="E22" i="7"/>
  <c r="F22" i="7"/>
  <c r="G22" i="7"/>
  <c r="D9" i="7"/>
  <c r="E9" i="7"/>
  <c r="F9" i="7"/>
  <c r="G9" i="7"/>
  <c r="D41" i="8"/>
  <c r="C41" i="8"/>
  <c r="C47" i="8"/>
  <c r="D60" i="8"/>
  <c r="C60" i="8"/>
  <c r="C21" i="8"/>
  <c r="C53" i="9"/>
  <c r="C45" i="9"/>
  <c r="J8" i="12" l="1"/>
  <c r="J12" i="12" s="1"/>
  <c r="K13" i="8"/>
  <c r="I20" i="12"/>
  <c r="I12" i="12"/>
  <c r="M12" i="8"/>
  <c r="J13" i="8"/>
  <c r="L12" i="8"/>
  <c r="J20" i="12"/>
  <c r="L20" i="12"/>
  <c r="M20" i="12"/>
  <c r="H13" i="12"/>
  <c r="H14" i="12" s="1"/>
  <c r="H16" i="12" s="1"/>
  <c r="H19" i="12" s="1"/>
  <c r="K20" i="12"/>
  <c r="I10" i="12"/>
  <c r="I11" i="12"/>
  <c r="B10" i="10"/>
  <c r="B11" i="10" s="1"/>
  <c r="E29" i="10"/>
  <c r="L15" i="10"/>
  <c r="D24" i="10"/>
  <c r="D30" i="10" s="1"/>
  <c r="K16" i="10"/>
  <c r="L16" i="10"/>
  <c r="D15" i="7"/>
  <c r="D17" i="7" s="1"/>
  <c r="D31" i="7" s="1"/>
  <c r="D30" i="7"/>
  <c r="E15" i="7"/>
  <c r="F15" i="7"/>
  <c r="G15" i="7"/>
  <c r="E61" i="8"/>
  <c r="F61" i="8"/>
  <c r="G61" i="8"/>
  <c r="D61" i="8"/>
  <c r="C61" i="8"/>
  <c r="C15" i="7"/>
  <c r="H23" i="12" l="1"/>
  <c r="H29" i="12" s="1"/>
  <c r="H31" i="12" s="1"/>
  <c r="J10" i="12"/>
  <c r="J11" i="12"/>
  <c r="K8" i="12"/>
  <c r="I13" i="12"/>
  <c r="I14" i="12" s="1"/>
  <c r="I16" i="12" s="1"/>
  <c r="I19" i="12" s="1"/>
  <c r="E19" i="10"/>
  <c r="E25" i="10" s="1"/>
  <c r="E24" i="10" s="1"/>
  <c r="E30" i="10" s="1"/>
  <c r="D19" i="7"/>
  <c r="E17" i="7"/>
  <c r="E30" i="7"/>
  <c r="G17" i="7"/>
  <c r="G30" i="7"/>
  <c r="F17" i="7"/>
  <c r="F30" i="7"/>
  <c r="C17" i="7"/>
  <c r="C30" i="7"/>
  <c r="D23" i="7"/>
  <c r="D32" i="7" s="1"/>
  <c r="I23" i="12" l="1"/>
  <c r="I29" i="12" s="1"/>
  <c r="I31" i="12" s="1"/>
  <c r="J13" i="12"/>
  <c r="J14" i="12" s="1"/>
  <c r="J16" i="12" s="1"/>
  <c r="J19" i="12" s="1"/>
  <c r="K12" i="12"/>
  <c r="K10" i="12"/>
  <c r="K11" i="12"/>
  <c r="L8" i="12"/>
  <c r="M7" i="12"/>
  <c r="M8" i="12" s="1"/>
  <c r="E31" i="10"/>
  <c r="D37" i="10"/>
  <c r="E37" i="10"/>
  <c r="F37" i="10"/>
  <c r="E32" i="10"/>
  <c r="F31" i="7"/>
  <c r="F19" i="7"/>
  <c r="E31" i="7"/>
  <c r="E19" i="7"/>
  <c r="G31" i="7"/>
  <c r="G19" i="7"/>
  <c r="G23" i="7" s="1"/>
  <c r="G32" i="7" s="1"/>
  <c r="C19" i="7"/>
  <c r="C31" i="7"/>
  <c r="D28" i="7"/>
  <c r="D8" i="9"/>
  <c r="D22" i="9" s="1"/>
  <c r="D33" i="9" s="1"/>
  <c r="D35" i="9" s="1"/>
  <c r="D55" i="9" s="1"/>
  <c r="G8" i="9"/>
  <c r="G22" i="9" s="1"/>
  <c r="G33" i="9" s="1"/>
  <c r="G35" i="9" s="1"/>
  <c r="G55" i="9" s="1"/>
  <c r="J23" i="12" l="1"/>
  <c r="J29" i="12" s="1"/>
  <c r="J31" i="12" s="1"/>
  <c r="L12" i="12"/>
  <c r="L11" i="12"/>
  <c r="L10" i="12"/>
  <c r="K13" i="12"/>
  <c r="K14" i="12" s="1"/>
  <c r="K16" i="12" s="1"/>
  <c r="K19" i="12" s="1"/>
  <c r="M10" i="12"/>
  <c r="M12" i="12"/>
  <c r="M11" i="12"/>
  <c r="D38" i="10"/>
  <c r="E38" i="10"/>
  <c r="F38" i="10"/>
  <c r="E8" i="9"/>
  <c r="E22" i="9" s="1"/>
  <c r="E33" i="9" s="1"/>
  <c r="E35" i="9" s="1"/>
  <c r="E55" i="9" s="1"/>
  <c r="E23" i="7"/>
  <c r="F23" i="7"/>
  <c r="F8" i="9"/>
  <c r="F22" i="9" s="1"/>
  <c r="F33" i="9" s="1"/>
  <c r="F35" i="9" s="1"/>
  <c r="F55" i="9" s="1"/>
  <c r="G28" i="7"/>
  <c r="C8" i="9"/>
  <c r="C22" i="9" s="1"/>
  <c r="C33" i="9" s="1"/>
  <c r="C35" i="9" s="1"/>
  <c r="C55" i="9" s="1"/>
  <c r="C57" i="9" s="1"/>
  <c r="C23" i="7"/>
  <c r="C32" i="7" s="1"/>
  <c r="K23" i="12" l="1"/>
  <c r="K29" i="12" s="1"/>
  <c r="K31" i="12" s="1"/>
  <c r="L13" i="12"/>
  <c r="L14" i="12" s="1"/>
  <c r="L16" i="12" s="1"/>
  <c r="L19" i="12" s="1"/>
  <c r="M13" i="12"/>
  <c r="M14" i="12" s="1"/>
  <c r="M16" i="12" s="1"/>
  <c r="M19" i="12" s="1"/>
  <c r="F32" i="7"/>
  <c r="F28" i="7"/>
  <c r="E32" i="7"/>
  <c r="E28" i="7"/>
  <c r="D56" i="9"/>
  <c r="D57" i="9" s="1"/>
  <c r="C28" i="8"/>
  <c r="C33" i="8" s="1"/>
  <c r="C34" i="8" s="1"/>
  <c r="C63" i="8" s="1"/>
  <c r="C28" i="7"/>
  <c r="L23" i="12" l="1"/>
  <c r="L29" i="12" s="1"/>
  <c r="M23" i="12"/>
  <c r="L28" i="12" s="1"/>
  <c r="L30" i="12" s="1"/>
  <c r="E56" i="9"/>
  <c r="E57" i="9" s="1"/>
  <c r="D28" i="8"/>
  <c r="D33" i="8" s="1"/>
  <c r="D34" i="8" s="1"/>
  <c r="D63" i="8" s="1"/>
  <c r="L31" i="12" l="1"/>
  <c r="H32" i="12" s="1"/>
  <c r="F56" i="9"/>
  <c r="F57" i="9" s="1"/>
  <c r="E28" i="8"/>
  <c r="E33" i="8" s="1"/>
  <c r="E34" i="8" s="1"/>
  <c r="E63" i="8" s="1"/>
  <c r="F28" i="8" l="1"/>
  <c r="F33" i="8" s="1"/>
  <c r="F34" i="8" s="1"/>
  <c r="F63" i="8" s="1"/>
  <c r="G56" i="9"/>
  <c r="G57" i="9" s="1"/>
  <c r="G28" i="8" s="1"/>
  <c r="G33" i="8" s="1"/>
  <c r="G34" i="8" s="1"/>
  <c r="G63" i="8" s="1"/>
  <c r="B12" i="10"/>
  <c r="B13" i="10" s="1"/>
</calcChain>
</file>

<file path=xl/sharedStrings.xml><?xml version="1.0" encoding="utf-8"?>
<sst xmlns="http://schemas.openxmlformats.org/spreadsheetml/2006/main" count="500" uniqueCount="237">
  <si>
    <t>b) Other equity</t>
  </si>
  <si>
    <t>b) Provisions</t>
  </si>
  <si>
    <t>b) Financial assets</t>
  </si>
  <si>
    <t>a) Property, plant and equipment</t>
  </si>
  <si>
    <t>b) Capital work-in-progress</t>
  </si>
  <si>
    <t>d) Intangible assets</t>
  </si>
  <si>
    <t>-</t>
  </si>
  <si>
    <t>i) Investments</t>
  </si>
  <si>
    <t>c) Other current assets</t>
  </si>
  <si>
    <t>a) Equity share capital</t>
  </si>
  <si>
    <t>a) Financial liabilities</t>
  </si>
  <si>
    <t>i) Borrowings</t>
  </si>
  <si>
    <t>ii) Lease liabilities</t>
  </si>
  <si>
    <t>ii) Trade payables</t>
  </si>
  <si>
    <t>- Dues to micro and small enterprises</t>
  </si>
  <si>
    <t>- Dues to other than micro and small enterprises</t>
  </si>
  <si>
    <t>iii)  Other financial liabilities</t>
  </si>
  <si>
    <t>b) Other current liabilities</t>
  </si>
  <si>
    <t>Cost of fuel consumed</t>
  </si>
  <si>
    <t>Employee benefits expenses</t>
  </si>
  <si>
    <t>Finance costs</t>
  </si>
  <si>
    <t>Other expenses</t>
  </si>
  <si>
    <t>Depreciation and amortisation expenses</t>
  </si>
  <si>
    <t>Total expenses</t>
  </si>
  <si>
    <t>Total tax expenses / (income)</t>
  </si>
  <si>
    <t>Adjustment for</t>
  </si>
  <si>
    <t>Finance cost</t>
  </si>
  <si>
    <t>Interest income</t>
  </si>
  <si>
    <t>Others</t>
  </si>
  <si>
    <t>Working capital changes</t>
  </si>
  <si>
    <t>(Increase) / decrease in financial and other asset</t>
  </si>
  <si>
    <t>(Increase) / decrease in trade receivables</t>
  </si>
  <si>
    <t>(Increase) / decrease in inventories</t>
  </si>
  <si>
    <t>Tax refund / (paid)</t>
  </si>
  <si>
    <t>Net cash from / (used in) operating activities</t>
  </si>
  <si>
    <t>Purchase of fixed assets including capital work-in-progress, net</t>
  </si>
  <si>
    <t>Interest received</t>
  </si>
  <si>
    <t>Net cash from / (used in) investing activities</t>
  </si>
  <si>
    <t>Finance cost paid</t>
  </si>
  <si>
    <t>Cash and cash equivalent - opening balance</t>
  </si>
  <si>
    <t>Cash and cash equivalent - closing balance</t>
  </si>
  <si>
    <t>Particulars</t>
  </si>
  <si>
    <t>Deferred tax</t>
  </si>
  <si>
    <t>VII. Profit / (loss) after tax ( V - VI )</t>
  </si>
  <si>
    <t>VIII. Other comprehensive income</t>
  </si>
  <si>
    <t>As on Mar 31,
2018</t>
  </si>
  <si>
    <t>As on Mar 31,
2019</t>
  </si>
  <si>
    <t>ASSETS</t>
  </si>
  <si>
    <t>ii) Loans</t>
  </si>
  <si>
    <t>iii) Other financial assets</t>
  </si>
  <si>
    <t>a) Inventories</t>
  </si>
  <si>
    <t>ii) Trade receivables</t>
  </si>
  <si>
    <t>iii) Cash and cash equivalents</t>
  </si>
  <si>
    <t>iv) Other bank balances</t>
  </si>
  <si>
    <t>v)  Loans</t>
  </si>
  <si>
    <t>vi) Other financial assets</t>
  </si>
  <si>
    <t>TOTAL (1+2)</t>
  </si>
  <si>
    <t>EQUITY AND LIABILITIES</t>
  </si>
  <si>
    <t>2. Non-current liabilities</t>
  </si>
  <si>
    <t>3. Current liabilities</t>
  </si>
  <si>
    <t>c) Short-term provisions</t>
  </si>
  <si>
    <t>d) Current tax liabilities (net)</t>
  </si>
  <si>
    <t>TOTAL (1 + 2 + 3)</t>
  </si>
  <si>
    <t>Year Ended Mar 31,
2018</t>
  </si>
  <si>
    <t>Year Ended Mar 31,
2019</t>
  </si>
  <si>
    <t>A.  Cash flow from operating activities</t>
  </si>
  <si>
    <t>Profit / (loss) before tax</t>
  </si>
  <si>
    <t>(Profit) / loss on sale of asset</t>
  </si>
  <si>
    <t>Gain on derivative instruments</t>
  </si>
  <si>
    <t>Unrealised foreign exchange</t>
  </si>
  <si>
    <t>Dividend income</t>
  </si>
  <si>
    <t>Unwinding of discount on deposits</t>
  </si>
  <si>
    <t>Provision for doubtful debts/advances</t>
  </si>
  <si>
    <t>Net gain on sale of investments</t>
  </si>
  <si>
    <t>Net gain on financial assets FVPL</t>
  </si>
  <si>
    <t>Operating profit before working capital changes</t>
  </si>
  <si>
    <t>(Increase) / decrease in other financial assets</t>
  </si>
  <si>
    <t>(Increase) / decrease in other assets</t>
  </si>
  <si>
    <t>Increase / (decrease) in trade payables</t>
  </si>
  <si>
    <t>Increase / (decrease) in other financial liabilities</t>
  </si>
  <si>
    <t>Increase / (decrease) in financial and other liabilities</t>
  </si>
  <si>
    <t>Cash generated from / (used in) operating activities</t>
  </si>
  <si>
    <t>B.  Cash flow from investing activities</t>
  </si>
  <si>
    <t>Inter corporate deposits - (given) / refund</t>
  </si>
  <si>
    <t>Sale of fixed assets</t>
  </si>
  <si>
    <t>(Investment) / redemption of bank deposit (held as margin money or security against guarantees or borrowings)</t>
  </si>
  <si>
    <t>Dividend received</t>
  </si>
  <si>
    <t>(Purchase) / sale of current investment, net</t>
  </si>
  <si>
    <t>C.  Cash flow from financing activities</t>
  </si>
  <si>
    <t>Proceeds from long-term borrowings</t>
  </si>
  <si>
    <t>Repayment of long-term borrowings</t>
  </si>
  <si>
    <t>Proceeds from / (repayment) of short-term borrowings, net</t>
  </si>
  <si>
    <t>Payment of derivative liabilities</t>
  </si>
  <si>
    <t>Net cash generated from financing 
activities</t>
  </si>
  <si>
    <t>Net increase / (decrease) in cash and cash equivalents (A + B + C)</t>
  </si>
  <si>
    <t>Year Ended Mar 31,
2020</t>
  </si>
  <si>
    <t>Year Ended Mar 31,
2021</t>
  </si>
  <si>
    <t>Year Ended Mar 31,
2022</t>
  </si>
  <si>
    <t>BALANCE SHEET</t>
  </si>
  <si>
    <t>M/s KSK MAHANADI POWER COMPANY LIMITED</t>
  </si>
  <si>
    <t>1.  Non-current assets</t>
  </si>
  <si>
    <t>2. Current assets</t>
  </si>
  <si>
    <t>1. Equity</t>
  </si>
  <si>
    <t>As on Mar 31,
2020</t>
  </si>
  <si>
    <t>As on Mar 31,
2021</t>
  </si>
  <si>
    <t>As on Mar 31,
2022</t>
  </si>
  <si>
    <t>CASH FLOW STATEMENT</t>
  </si>
  <si>
    <t>PROFIT AND LOSS ACCOUNT</t>
  </si>
  <si>
    <t>check</t>
  </si>
  <si>
    <t>c) Right to Use Assets</t>
  </si>
  <si>
    <t>e) Intangible assets under development</t>
  </si>
  <si>
    <t>f) Financial assets</t>
  </si>
  <si>
    <t>g) Deferred tax assets, net</t>
  </si>
  <si>
    <t>h) Other non-current assets</t>
  </si>
  <si>
    <t>(i) Items that will not be reclassified to profit &amp; loss</t>
  </si>
  <si>
    <t>(ii) Income tax relating to items that will not be reclassified to profit &amp; loss</t>
  </si>
  <si>
    <t>IX. Total comprehensive income for the year ( VII + VIII )</t>
  </si>
  <si>
    <t>EBITDA Margin %</t>
  </si>
  <si>
    <t>EBIT Margin %</t>
  </si>
  <si>
    <t>Net Profit Margin %</t>
  </si>
  <si>
    <t>Revenue Growth Rate (Y.O.Y.)</t>
  </si>
  <si>
    <t>EBITDA</t>
  </si>
  <si>
    <t>EBIT</t>
  </si>
  <si>
    <t>Revenue from operations</t>
  </si>
  <si>
    <t>Other income</t>
  </si>
  <si>
    <t>Total revenue</t>
  </si>
  <si>
    <t>Expenses</t>
  </si>
  <si>
    <t>Tax expense / (income)</t>
  </si>
  <si>
    <t xml:space="preserve">Cost of Fuel </t>
  </si>
  <si>
    <t>Land Value</t>
  </si>
  <si>
    <t>EV/EBITDA</t>
  </si>
  <si>
    <t>India Power Corp Ltd</t>
  </si>
  <si>
    <t>GMR Power and Urban Infra Limited</t>
  </si>
  <si>
    <t>Relative Valuation</t>
  </si>
  <si>
    <t>Particular</t>
  </si>
  <si>
    <t xml:space="preserve">Market Data </t>
  </si>
  <si>
    <t>Financial Data</t>
  </si>
  <si>
    <t>Valuation</t>
  </si>
  <si>
    <t>Company Name</t>
  </si>
  <si>
    <t>Price (Per Share) Previous Close</t>
  </si>
  <si>
    <t>Market Cap (Crore)</t>
  </si>
  <si>
    <t>EV</t>
  </si>
  <si>
    <t xml:space="preserve">Sales </t>
  </si>
  <si>
    <t>Earnings Per Share (Basic)</t>
  </si>
  <si>
    <t>EV/Sales</t>
  </si>
  <si>
    <t>P/E</t>
  </si>
  <si>
    <t>Average</t>
  </si>
  <si>
    <t>Median</t>
  </si>
  <si>
    <t>Mean</t>
  </si>
  <si>
    <t xml:space="preserve">Optimistic Case </t>
  </si>
  <si>
    <t>Base Case</t>
  </si>
  <si>
    <t>Pessimistic Case</t>
  </si>
  <si>
    <t>Enterprise Value</t>
  </si>
  <si>
    <t>In Crore</t>
  </si>
  <si>
    <t>S.No.</t>
  </si>
  <si>
    <t>Reliance Infra</t>
  </si>
  <si>
    <t>NAVA Limited</t>
  </si>
  <si>
    <t>Gujarat Industries Power Company Ltd.</t>
  </si>
  <si>
    <t>RattanIndia Power Ltd.</t>
  </si>
  <si>
    <t>SBICAP trustee company limited</t>
  </si>
  <si>
    <t>KSK Energy Ventures Limited</t>
  </si>
  <si>
    <t>No. of shares held 35.86 35.86</t>
  </si>
  <si>
    <t>% of shares held 9.94% 9.94%</t>
  </si>
  <si>
    <t>KSK Energy Company Private Limited</t>
  </si>
  <si>
    <t>No. of shares held 25.00 25.00</t>
  </si>
  <si>
    <t>% of shares held 6.93% 6.93%</t>
  </si>
  <si>
    <t>Name of the shareholder</t>
  </si>
  <si>
    <t xml:space="preserve">No. of shares held </t>
  </si>
  <si>
    <t xml:space="preserve">% of shares held </t>
  </si>
  <si>
    <t xml:space="preserve">S.No. </t>
  </si>
  <si>
    <t xml:space="preserve">Location </t>
  </si>
  <si>
    <t>Nariyara Village, Chattisgarh</t>
  </si>
  <si>
    <t xml:space="preserve">Factory Area </t>
  </si>
  <si>
    <t>Approx 2132 Acres</t>
  </si>
  <si>
    <t xml:space="preserve">Number of Units </t>
  </si>
  <si>
    <t>6 units of 600 MW each</t>
  </si>
  <si>
    <t>Operational Status</t>
  </si>
  <si>
    <t>Details</t>
  </si>
  <si>
    <t>3 units commissioned</t>
  </si>
  <si>
    <t>Lack of Marketability Discount</t>
  </si>
  <si>
    <t>Only EV/EBITDA</t>
  </si>
  <si>
    <t>Average Base</t>
  </si>
  <si>
    <t>Sensitivity Analysis</t>
  </si>
  <si>
    <t>Revenue</t>
  </si>
  <si>
    <t>Data as per ABS 2022</t>
  </si>
  <si>
    <t>Tax Rate (T)</t>
  </si>
  <si>
    <t>(1-T)</t>
  </si>
  <si>
    <t>NOPAT= EBIT*(1-T)</t>
  </si>
  <si>
    <t>Add: Depreciation &amp; Amortization</t>
  </si>
  <si>
    <t>Less: Changes in Working Capital</t>
  </si>
  <si>
    <t>Less: CAPEX</t>
  </si>
  <si>
    <t>Free Cash Flow to Firm (FCFF)</t>
  </si>
  <si>
    <t>Discount Rate (WACC)</t>
  </si>
  <si>
    <t>Period</t>
  </si>
  <si>
    <t>Discount Factor</t>
  </si>
  <si>
    <t>PV of FCFF</t>
  </si>
  <si>
    <t>Growth Rate</t>
  </si>
  <si>
    <t>Terminal Value</t>
  </si>
  <si>
    <t>PV of terminal Value</t>
  </si>
  <si>
    <t>PV of FCFF + PV of TV</t>
  </si>
  <si>
    <t>Enterprise Value Of the Firm</t>
  </si>
  <si>
    <t>Perpetuity</t>
  </si>
  <si>
    <t>Net PP&amp;E</t>
  </si>
  <si>
    <t>Less: Depreciation</t>
  </si>
  <si>
    <t>% OTHER EXPENSES W/O PROV.</t>
  </si>
  <si>
    <t>OTHER EXPENSES W/O PROV.</t>
  </si>
  <si>
    <t>PROV</t>
  </si>
  <si>
    <t>OTHER EXPENSEs</t>
  </si>
  <si>
    <t>Other Expenses W/O Prov.</t>
  </si>
  <si>
    <t>Expected Market Return (Rm) Nifty Fifty 5-year return 2022</t>
  </si>
  <si>
    <t>https://kunaldesai.blog/nifty-returns/</t>
  </si>
  <si>
    <t>Company Risk Premium</t>
  </si>
  <si>
    <t>Appropriate Discount Rate</t>
  </si>
  <si>
    <t>Discount Rate</t>
  </si>
  <si>
    <t>Revenue Growth Rate (for first 5 years)</t>
  </si>
  <si>
    <t>Crores</t>
  </si>
  <si>
    <t>Profit / (loss) after tax</t>
  </si>
  <si>
    <t xml:space="preserve">Gross Opening PP&amp;E </t>
  </si>
  <si>
    <t>TOTAL</t>
  </si>
  <si>
    <t>Other Creditors/Stakeholders</t>
  </si>
  <si>
    <t>Operational Creditors (only Workmen and Employees)</t>
  </si>
  <si>
    <t>Operational Creditors (other than Workmen and Employees)</t>
  </si>
  <si>
    <t>Financial Creditors (Related Party)</t>
  </si>
  <si>
    <t>Financial Creditors</t>
  </si>
  <si>
    <r>
      <t xml:space="preserve">Contingent Claim
</t>
    </r>
    <r>
      <rPr>
        <b/>
        <sz val="11"/>
        <color theme="0"/>
        <rFont val="Calibri"/>
        <family val="2"/>
      </rPr>
      <t>(in INR)</t>
    </r>
  </si>
  <si>
    <r>
      <t xml:space="preserve">Amount of Claims admitted
</t>
    </r>
    <r>
      <rPr>
        <b/>
        <sz val="11"/>
        <color theme="0"/>
        <rFont val="Calibri"/>
        <family val="2"/>
      </rPr>
      <t>(in INR)</t>
    </r>
  </si>
  <si>
    <r>
      <t xml:space="preserve">Amount Claimed
</t>
    </r>
    <r>
      <rPr>
        <b/>
        <sz val="11"/>
        <color theme="0"/>
        <rFont val="Calibri"/>
        <family val="2"/>
      </rPr>
      <t>(in INR)</t>
    </r>
  </si>
  <si>
    <t>Category of Creditors</t>
  </si>
  <si>
    <t>Cost per MW</t>
  </si>
  <si>
    <t>Operational Capacity of the Plant</t>
  </si>
  <si>
    <t>MW</t>
  </si>
  <si>
    <t xml:space="preserve">Total Cost </t>
  </si>
  <si>
    <t xml:space="preserve">Estimation of FGD Cost </t>
  </si>
  <si>
    <t>0%-0.25%</t>
  </si>
  <si>
    <t>1.5%-1.75%</t>
  </si>
  <si>
    <t>3%-3.25%</t>
  </si>
  <si>
    <t>Depreciation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</si>
</sst>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&quot;FY&quot;\ 0\ &quot;A&quot;"/>
    <numFmt numFmtId="165" formatCode="0.0%"/>
    <numFmt numFmtId="166" formatCode="0.00\ &quot;xx&quot;"/>
  </numFmts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i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161">
    <xf numFmtId="0" fontId="0" fillId="0" borderId="0" xfId="0"/>
    <xf numFmtId="0" fontId="1" fillId="4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shrinkToFit="1"/>
    </xf>
    <xf numFmtId="4" fontId="3" fillId="0" borderId="3" xfId="0" applyNumberFormat="1" applyFont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center" wrapText="1"/>
    </xf>
    <xf numFmtId="4" fontId="3" fillId="3" borderId="3" xfId="0" applyNumberFormat="1" applyFont="1" applyFill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4" fillId="0" borderId="0" xfId="0" applyFont="1" applyAlignment="1">
      <alignment vertical="top" wrapText="1"/>
    </xf>
    <xf numFmtId="4" fontId="5" fillId="0" borderId="5" xfId="0" applyNumberFormat="1" applyFont="1" applyBorder="1" applyAlignment="1">
      <alignment horizontal="center" vertical="center" shrinkToFit="1"/>
    </xf>
    <xf numFmtId="4" fontId="3" fillId="0" borderId="5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 shrinkToFit="1"/>
    </xf>
    <xf numFmtId="0" fontId="0" fillId="0" borderId="5" xfId="0" applyBorder="1"/>
    <xf numFmtId="0" fontId="2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indent="3"/>
    </xf>
    <xf numFmtId="2" fontId="5" fillId="0" borderId="5" xfId="0" applyNumberFormat="1" applyFont="1" applyBorder="1" applyAlignment="1">
      <alignment horizontal="center" vertical="center" shrinkToFit="1"/>
    </xf>
    <xf numFmtId="4" fontId="3" fillId="3" borderId="5" xfId="0" applyNumberFormat="1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5" fillId="0" borderId="5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shrinkToFi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/>
    </xf>
    <xf numFmtId="4" fontId="5" fillId="0" borderId="6" xfId="0" applyNumberFormat="1" applyFont="1" applyBorder="1" applyAlignment="1">
      <alignment horizontal="center" vertical="center" shrinkToFit="1"/>
    </xf>
    <xf numFmtId="4" fontId="5" fillId="0" borderId="8" xfId="0" applyNumberFormat="1" applyFont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top" wrapText="1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4"/>
    </xf>
    <xf numFmtId="0" fontId="5" fillId="0" borderId="2" xfId="0" applyFont="1" applyBorder="1" applyAlignment="1">
      <alignment horizontal="left" vertical="top" wrapText="1" inden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4" fontId="3" fillId="3" borderId="9" xfId="0" applyNumberFormat="1" applyFont="1" applyFill="1" applyBorder="1" applyAlignment="1">
      <alignment horizontal="center" vertical="center" shrinkToFit="1"/>
    </xf>
    <xf numFmtId="4" fontId="5" fillId="0" borderId="9" xfId="0" applyNumberFormat="1" applyFont="1" applyBorder="1" applyAlignment="1">
      <alignment horizontal="center" vertical="center" shrinkToFit="1"/>
    </xf>
    <xf numFmtId="0" fontId="1" fillId="2" borderId="0" xfId="0" applyFont="1" applyFill="1" applyAlignment="1">
      <alignment horizontal="left" vertical="center"/>
    </xf>
    <xf numFmtId="10" fontId="0" fillId="0" borderId="0" xfId="1" applyNumberFormat="1" applyFont="1" applyAlignment="1">
      <alignment vertical="center"/>
    </xf>
    <xf numFmtId="10" fontId="0" fillId="0" borderId="0" xfId="1" applyNumberFormat="1" applyFont="1" applyAlignment="1">
      <alignment horizontal="center" vertical="center"/>
    </xf>
    <xf numFmtId="164" fontId="2" fillId="2" borderId="10" xfId="0" applyNumberFormat="1" applyFont="1" applyFill="1" applyBorder="1" applyAlignment="1">
      <alignment horizontal="left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0" fontId="0" fillId="0" borderId="5" xfId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top" wrapText="1"/>
    </xf>
    <xf numFmtId="165" fontId="0" fillId="0" borderId="5" xfId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0" fontId="0" fillId="0" borderId="5" xfId="1" applyNumberFormat="1" applyFont="1" applyBorder="1"/>
    <xf numFmtId="4" fontId="0" fillId="0" borderId="0" xfId="0" applyNumberFormat="1" applyAlignment="1">
      <alignment vertical="center"/>
    </xf>
    <xf numFmtId="0" fontId="8" fillId="0" borderId="0" xfId="2"/>
    <xf numFmtId="0" fontId="0" fillId="0" borderId="0" xfId="0" applyAlignment="1">
      <alignment horizontal="center" vertic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9" fillId="6" borderId="0" xfId="0" applyFont="1" applyFill="1" applyAlignment="1">
      <alignment horizontal="center" vertical="center"/>
    </xf>
    <xf numFmtId="0" fontId="9" fillId="7" borderId="0" xfId="0" applyFont="1" applyFill="1" applyAlignment="1">
      <alignment vertical="center" wrapText="1"/>
    </xf>
    <xf numFmtId="2" fontId="0" fillId="7" borderId="0" xfId="0" applyNumberFormat="1" applyFill="1" applyAlignment="1">
      <alignment horizontal="center" vertical="center"/>
    </xf>
    <xf numFmtId="166" fontId="0" fillId="8" borderId="0" xfId="0" applyNumberFormat="1" applyFill="1" applyAlignment="1">
      <alignment horizontal="center" vertical="center"/>
    </xf>
    <xf numFmtId="0" fontId="9" fillId="7" borderId="0" xfId="0" applyFont="1" applyFill="1" applyAlignment="1">
      <alignment vertical="center"/>
    </xf>
    <xf numFmtId="0" fontId="0" fillId="7" borderId="0" xfId="0" applyFill="1" applyAlignment="1">
      <alignment horizontal="center" vertical="center"/>
    </xf>
    <xf numFmtId="0" fontId="9" fillId="4" borderId="0" xfId="0" applyFont="1" applyFill="1"/>
    <xf numFmtId="0" fontId="1" fillId="2" borderId="0" xfId="0" applyFont="1" applyFill="1" applyAlignment="1">
      <alignment horizontal="center" vertical="center"/>
    </xf>
    <xf numFmtId="0" fontId="9" fillId="0" borderId="0" xfId="0" applyFont="1"/>
    <xf numFmtId="166" fontId="0" fillId="0" borderId="0" xfId="0" applyNumberFormat="1" applyAlignment="1">
      <alignment horizontal="center" vertic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9" fillId="0" borderId="5" xfId="0" applyFont="1" applyBorder="1"/>
    <xf numFmtId="0" fontId="9" fillId="9" borderId="5" xfId="0" applyFont="1" applyFill="1" applyBorder="1"/>
    <xf numFmtId="0" fontId="9" fillId="4" borderId="0" xfId="0" applyFont="1" applyFill="1" applyAlignment="1">
      <alignment horizontal="center" vertical="center"/>
    </xf>
    <xf numFmtId="166" fontId="9" fillId="4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0" fillId="4" borderId="0" xfId="0" applyFont="1" applyFill="1"/>
    <xf numFmtId="0" fontId="1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9" fillId="7" borderId="0" xfId="0" applyFont="1" applyFill="1"/>
    <xf numFmtId="2" fontId="0" fillId="0" borderId="0" xfId="0" applyNumberFormat="1"/>
    <xf numFmtId="0" fontId="1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10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9" fontId="0" fillId="0" borderId="0" xfId="0" applyNumberFormat="1"/>
    <xf numFmtId="4" fontId="9" fillId="0" borderId="5" xfId="0" applyNumberFormat="1" applyFont="1" applyBorder="1" applyAlignment="1">
      <alignment horizontal="center" vertical="center"/>
    </xf>
    <xf numFmtId="9" fontId="9" fillId="0" borderId="5" xfId="0" applyNumberFormat="1" applyFont="1" applyBorder="1" applyAlignment="1">
      <alignment horizontal="center" vertical="center"/>
    </xf>
    <xf numFmtId="4" fontId="0" fillId="0" borderId="0" xfId="0" applyNumberFormat="1"/>
    <xf numFmtId="0" fontId="0" fillId="7" borderId="0" xfId="0" applyFill="1"/>
    <xf numFmtId="4" fontId="0" fillId="0" borderId="5" xfId="0" applyNumberFormat="1" applyBorder="1" applyAlignment="1">
      <alignment horizontal="center" vertical="center"/>
    </xf>
    <xf numFmtId="10" fontId="5" fillId="0" borderId="3" xfId="1" applyNumberFormat="1" applyFont="1" applyBorder="1" applyAlignment="1">
      <alignment horizontal="center" vertical="center" shrinkToFit="1"/>
    </xf>
    <xf numFmtId="9" fontId="0" fillId="0" borderId="0" xfId="1" applyFont="1"/>
    <xf numFmtId="4" fontId="3" fillId="3" borderId="11" xfId="0" applyNumberFormat="1" applyFont="1" applyFill="1" applyBorder="1" applyAlignment="1">
      <alignment horizontal="center" vertical="center" shrinkToFit="1"/>
    </xf>
    <xf numFmtId="9" fontId="0" fillId="0" borderId="5" xfId="1" applyFon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top" wrapText="1"/>
    </xf>
    <xf numFmtId="0" fontId="12" fillId="0" borderId="5" xfId="0" applyFont="1" applyBorder="1"/>
    <xf numFmtId="0" fontId="13" fillId="0" borderId="5" xfId="0" applyFont="1" applyBorder="1"/>
    <xf numFmtId="0" fontId="13" fillId="0" borderId="5" xfId="0" applyFont="1" applyBorder="1" applyAlignment="1">
      <alignment vertical="center"/>
    </xf>
    <xf numFmtId="0" fontId="12" fillId="0" borderId="12" xfId="0" applyFont="1" applyBorder="1"/>
    <xf numFmtId="4" fontId="5" fillId="0" borderId="12" xfId="0" applyNumberFormat="1" applyFont="1" applyBorder="1" applyAlignment="1">
      <alignment horizontal="center" vertical="center" shrinkToFit="1"/>
    </xf>
    <xf numFmtId="0" fontId="13" fillId="3" borderId="5" xfId="0" applyFont="1" applyFill="1" applyBorder="1"/>
    <xf numFmtId="0" fontId="0" fillId="3" borderId="5" xfId="0" applyFill="1" applyBorder="1"/>
    <xf numFmtId="4" fontId="5" fillId="0" borderId="15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14" fillId="2" borderId="5" xfId="0" applyFont="1" applyFill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 vertical="center"/>
    </xf>
    <xf numFmtId="164" fontId="2" fillId="2" borderId="5" xfId="0" applyNumberFormat="1" applyFont="1" applyFill="1" applyBorder="1" applyAlignment="1">
      <alignment horizontal="left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9" fillId="0" borderId="13" xfId="0" applyFont="1" applyBorder="1"/>
    <xf numFmtId="0" fontId="0" fillId="0" borderId="0" xfId="0" applyAlignment="1">
      <alignment horizontal="left" vertical="center" wrapText="1"/>
    </xf>
    <xf numFmtId="10" fontId="9" fillId="0" borderId="13" xfId="0" applyNumberFormat="1" applyFont="1" applyBorder="1" applyAlignment="1">
      <alignment horizontal="center" vertical="center"/>
    </xf>
    <xf numFmtId="10" fontId="0" fillId="10" borderId="5" xfId="0" applyNumberFormat="1" applyFill="1" applyBorder="1" applyAlignment="1">
      <alignment horizontal="center" vertical="center"/>
    </xf>
    <xf numFmtId="43" fontId="0" fillId="11" borderId="5" xfId="3" applyNumberFormat="1" applyFont="1" applyFill="1" applyBorder="1" applyAlignment="1">
      <alignment horizontal="center" vertical="center"/>
    </xf>
    <xf numFmtId="4" fontId="1" fillId="2" borderId="13" xfId="0" applyNumberFormat="1" applyFont="1" applyFill="1" applyBorder="1" applyAlignment="1">
      <alignment vertical="center" shrinkToFit="1"/>
    </xf>
    <xf numFmtId="4" fontId="1" fillId="2" borderId="14" xfId="0" applyNumberFormat="1" applyFont="1" applyFill="1" applyBorder="1" applyAlignment="1">
      <alignment vertical="center" shrinkToFit="1"/>
    </xf>
    <xf numFmtId="4" fontId="1" fillId="2" borderId="7" xfId="0" applyNumberFormat="1" applyFont="1" applyFill="1" applyBorder="1" applyAlignment="1">
      <alignment horizontal="center" vertical="center" shrinkToFit="1"/>
    </xf>
    <xf numFmtId="4" fontId="9" fillId="13" borderId="5" xfId="0" applyNumberFormat="1" applyFont="1" applyFill="1" applyBorder="1" applyAlignment="1">
      <alignment horizontal="center" vertical="center"/>
    </xf>
    <xf numFmtId="4" fontId="0" fillId="0" borderId="5" xfId="0" applyNumberFormat="1" applyBorder="1" applyAlignment="1">
      <alignment vertical="center" wrapText="1"/>
    </xf>
    <xf numFmtId="3" fontId="0" fillId="0" borderId="5" xfId="0" applyNumberFormat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/>
    </xf>
    <xf numFmtId="10" fontId="0" fillId="0" borderId="0" xfId="0" applyNumberFormat="1"/>
    <xf numFmtId="43" fontId="9" fillId="5" borderId="5" xfId="3" applyNumberFormat="1" applyFont="1" applyFill="1" applyBorder="1" applyAlignment="1">
      <alignment horizontal="center" vertical="center"/>
    </xf>
    <xf numFmtId="43" fontId="0" fillId="0" borderId="0" xfId="0" applyNumberFormat="1"/>
    <xf numFmtId="43" fontId="0" fillId="0" borderId="0" xfId="0" applyNumberFormat="1" applyAlignment="1">
      <alignment horizontal="center" vertical="center"/>
    </xf>
    <xf numFmtId="9" fontId="0" fillId="0" borderId="0" xfId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/>
    <xf numFmtId="0" fontId="9" fillId="14" borderId="5" xfId="0" applyFont="1" applyFill="1" applyBorder="1" applyAlignment="1">
      <alignment horizontal="left" vertical="center"/>
    </xf>
    <xf numFmtId="4" fontId="9" fillId="14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4" fontId="9" fillId="13" borderId="5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left" vertical="center"/>
    </xf>
    <xf numFmtId="10" fontId="5" fillId="0" borderId="7" xfId="1" applyNumberFormat="1" applyFont="1" applyBorder="1" applyAlignment="1">
      <alignment horizontal="center" vertical="center" shrinkToFit="1"/>
    </xf>
    <xf numFmtId="10" fontId="5" fillId="0" borderId="13" xfId="1" applyNumberFormat="1" applyFont="1" applyBorder="1" applyAlignment="1">
      <alignment horizontal="center" vertical="center" shrinkToFit="1"/>
    </xf>
    <xf numFmtId="10" fontId="5" fillId="0" borderId="14" xfId="1" applyNumberFormat="1" applyFont="1" applyBorder="1" applyAlignment="1">
      <alignment horizontal="center" vertical="center" shrinkToFit="1"/>
    </xf>
    <xf numFmtId="0" fontId="1" fillId="2" borderId="16" xfId="0" applyFont="1" applyFill="1" applyBorder="1" applyAlignment="1">
      <alignment horizontal="center"/>
    </xf>
    <xf numFmtId="0" fontId="15" fillId="12" borderId="5" xfId="0" applyFont="1" applyFill="1" applyBorder="1" applyAlignment="1">
      <alignment horizontal="center" vertical="center" wrapText="1"/>
    </xf>
    <xf numFmtId="0" fontId="15" fillId="12" borderId="5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">
    <cellStyle name="Currency" xfId="3" builtinId="4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IN" sz="1200" b="1">
                <a:solidFill>
                  <a:schemeClr val="bg1"/>
                </a:solidFill>
              </a:rPr>
              <a:t>EBITDA MARGIN %</a:t>
            </a: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26159230096239"/>
          <c:y val="0.16041666666666665"/>
          <c:w val="0.79273840769903758"/>
          <c:h val="0.6340124671916010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'P&amp;L'!$C$6:$G$6</c:f>
              <c:numCache>
                <c:formatCode>"FY"\ 0\ "A"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'P&amp;L'!$C$30:$G$30</c:f>
              <c:numCache>
                <c:formatCode>0.00%</c:formatCode>
                <c:ptCount val="5"/>
                <c:pt idx="0">
                  <c:v>0.22950198963858848</c:v>
                </c:pt>
                <c:pt idx="1">
                  <c:v>5.9647022003293033E-2</c:v>
                </c:pt>
                <c:pt idx="2">
                  <c:v>8.7674438566452739E-2</c:v>
                </c:pt>
                <c:pt idx="3">
                  <c:v>0.22654355203487608</c:v>
                </c:pt>
                <c:pt idx="4">
                  <c:v>0.35549009552658889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C-4C37-95FE-A888406066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8320848"/>
        <c:axId val="498314288"/>
      </c:barChart>
      <c:catAx>
        <c:axId val="498320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IN" sz="1000" b="1" i="1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00" b="1" i="1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Financial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en-IN" sz="1000" b="1" i="1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314288"/>
        <c:crosses val="autoZero"/>
        <c:auto val="1"/>
        <c:lblAlgn val="ctr"/>
        <c:lblOffset val="100"/>
        <c:noMultiLvlLbl val="0"/>
      </c:catAx>
      <c:valAx>
        <c:axId val="49831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sz="1050" b="1" i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32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200" b="1">
                <a:solidFill>
                  <a:schemeClr val="bg1"/>
                </a:solidFill>
              </a:rPr>
              <a:t>EBIT MARGIN</a:t>
            </a:r>
            <a:r>
              <a:rPr lang="en-IN" sz="1200" b="1" baseline="0">
                <a:solidFill>
                  <a:schemeClr val="bg1"/>
                </a:solidFill>
              </a:rPr>
              <a:t> %</a:t>
            </a:r>
            <a:endParaRPr lang="en-IN" sz="1200" b="1">
              <a:solidFill>
                <a:schemeClr val="bg1"/>
              </a:solidFill>
            </a:endParaRP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'P&amp;L'!$C$6:$G$6</c:f>
              <c:numCache>
                <c:formatCode>"FY"\ 0\ "A"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'P&amp;L'!$C$31:$G$31</c:f>
              <c:numCache>
                <c:formatCode>0.00%</c:formatCode>
                <c:ptCount val="5"/>
                <c:pt idx="0">
                  <c:v>4.0615568330341918E-2</c:v>
                </c:pt>
                <c:pt idx="1">
                  <c:v>-0.13028888677216996</c:v>
                </c:pt>
                <c:pt idx="2">
                  <c:v>-6.9362059696502804E-2</c:v>
                </c:pt>
                <c:pt idx="3">
                  <c:v>6.764288337087096E-2</c:v>
                </c:pt>
                <c:pt idx="4">
                  <c:v>0.19511514472099326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2E-4121-B3F8-7AE9701990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7036152"/>
        <c:axId val="107037136"/>
      </c:barChart>
      <c:catAx>
        <c:axId val="107036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Financial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ysDot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037136"/>
        <c:crosses val="autoZero"/>
        <c:auto val="1"/>
        <c:lblAlgn val="ctr"/>
        <c:lblOffset val="100"/>
        <c:noMultiLvlLbl val="0"/>
      </c:catAx>
      <c:valAx>
        <c:axId val="10703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036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200" b="1">
                <a:solidFill>
                  <a:schemeClr val="bg1"/>
                </a:solidFill>
              </a:rPr>
              <a:t>NET</a:t>
            </a:r>
            <a:r>
              <a:rPr lang="en-IN" sz="1200" b="1" baseline="0">
                <a:solidFill>
                  <a:schemeClr val="bg1"/>
                </a:solidFill>
              </a:rPr>
              <a:t> PROFIT MARGIN %</a:t>
            </a:r>
            <a:endParaRPr lang="en-IN" sz="1200" b="1">
              <a:solidFill>
                <a:schemeClr val="bg1"/>
              </a:solidFill>
            </a:endParaRP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265069991251093"/>
          <c:y val="0.16041666666666665"/>
          <c:w val="0.78679374453193351"/>
          <c:h val="0.718263706620005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'P&amp;L'!$C$6:$G$6</c:f>
              <c:numCache>
                <c:formatCode>"FY"\ 0\ "A"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'P&amp;L'!$C$32:$G$32</c:f>
              <c:numCache>
                <c:formatCode>0.00%</c:formatCode>
                <c:ptCount val="5"/>
                <c:pt idx="0">
                  <c:v>-0.56836674882496641</c:v>
                </c:pt>
                <c:pt idx="1">
                  <c:v>-0.19308740083549916</c:v>
                </c:pt>
                <c:pt idx="2">
                  <c:v>-0.11839234164434179</c:v>
                </c:pt>
                <c:pt idx="3">
                  <c:v>2.010201862155564E-2</c:v>
                </c:pt>
                <c:pt idx="4">
                  <c:v>7.9049742996505787E-2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A-467C-9F5A-B67AF4915D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1315120"/>
        <c:axId val="491317744"/>
      </c:barChart>
      <c:catAx>
        <c:axId val="491315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Financial</a:t>
                </a:r>
                <a:r>
                  <a:rPr lang="en-IN" b="1" i="1" baseline="0"/>
                  <a:t> Year</a:t>
                </a:r>
                <a:endParaRPr lang="en-IN" b="1" i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317744"/>
        <c:crosses val="autoZero"/>
        <c:auto val="1"/>
        <c:lblAlgn val="ctr"/>
        <c:lblOffset val="100"/>
        <c:noMultiLvlLbl val="0"/>
      </c:catAx>
      <c:valAx>
        <c:axId val="49131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131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sz="1200" b="1">
                <a:solidFill>
                  <a:schemeClr val="bg1"/>
                </a:solidFill>
              </a:rPr>
              <a:t>REVENUE</a:t>
            </a:r>
            <a:r>
              <a:rPr lang="en-IN" sz="1200" b="1" baseline="0">
                <a:solidFill>
                  <a:schemeClr val="bg1"/>
                </a:solidFill>
              </a:rPr>
              <a:t> GROWTH RATE (Y.O.Y.)</a:t>
            </a:r>
            <a:endParaRPr lang="en-IN" sz="1200" b="1">
              <a:solidFill>
                <a:schemeClr val="bg1"/>
              </a:solidFill>
            </a:endParaRPr>
          </a:p>
        </c:rich>
      </c:tx>
      <c:layout>
        <c:manualLayout>
          <c:xMode val="edge"/>
          <c:yMode val="edge"/>
          <c:x val="0.26889566929133857"/>
          <c:y val="2.7777777777777776E-2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'P&amp;L'!$D$6:$G$6</c:f>
              <c:numCache>
                <c:formatCode>"FY"\ 0\ "A"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'P&amp;L'!$D$33:$G$33</c:f>
              <c:numCache>
                <c:formatCode>0.00%</c:formatCode>
                <c:ptCount val="4"/>
                <c:pt idx="0">
                  <c:v>0.33775434789731773</c:v>
                </c:pt>
                <c:pt idx="1">
                  <c:v>0.2048224904407463</c:v>
                </c:pt>
                <c:pt idx="2">
                  <c:v>-3.4191991976616709E-2</c:v>
                </c:pt>
                <c:pt idx="3">
                  <c:v>-1.9444814755045225E-2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7C-4A0C-B102-E944EF5785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90829432"/>
        <c:axId val="590833368"/>
      </c:barChart>
      <c:catAx>
        <c:axId val="590829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Financial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FY&quot;\ 0\ &quot;A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833368"/>
        <c:crosses val="autoZero"/>
        <c:auto val="1"/>
        <c:lblAlgn val="ctr"/>
        <c:lblOffset val="100"/>
        <c:noMultiLvlLbl val="0"/>
      </c:catAx>
      <c:valAx>
        <c:axId val="590833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IN" b="1" i="1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0829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71437</xdr:rowOff>
    </xdr:from>
    <xdr:to>
      <xdr:col>1</xdr:col>
      <xdr:colOff>4572000</xdr:colOff>
      <xdr:row>47</xdr:row>
      <xdr:rowOff>147637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591F71-F557-966A-24CF-8DA1C187B3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219075</xdr:colOff>
      <xdr:row>33</xdr:row>
      <xdr:rowOff>71437</xdr:rowOff>
    </xdr:from>
    <xdr:to>
      <xdr:col>10</xdr:col>
      <xdr:colOff>485775</xdr:colOff>
      <xdr:row>47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B154ABC-06CF-E9DC-A522-CC082AFF8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600075</xdr:colOff>
      <xdr:row>48</xdr:row>
      <xdr:rowOff>109537</xdr:rowOff>
    </xdr:from>
    <xdr:to>
      <xdr:col>1</xdr:col>
      <xdr:colOff>4562475</xdr:colOff>
      <xdr:row>62</xdr:row>
      <xdr:rowOff>185737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6954FA1E-65E1-3133-6AE9-43F43E4C93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233362</xdr:colOff>
      <xdr:row>48</xdr:row>
      <xdr:rowOff>100012</xdr:rowOff>
    </xdr:from>
    <xdr:to>
      <xdr:col>10</xdr:col>
      <xdr:colOff>500062</xdr:colOff>
      <xdr:row>62</xdr:row>
      <xdr:rowOff>176212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BE23642-46CC-E514-3618-4EA19EA76A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kunaldesai.blog/nifty-return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39997558519241921"/>
  </sheetPr>
  <dimension ref="B2:N63"/>
  <sheetViews>
    <sheetView showGridLines="0" workbookViewId="0">
      <selection activeCell="K23" sqref="K23"/>
    </sheetView>
  </sheetViews>
  <sheetFormatPr defaultRowHeight="15" x14ac:dyDescent="0.25"/>
  <cols>
    <col min="1" max="1" width="9.140625" style="2"/>
    <col min="2" max="2" width="47.7109375" style="2" customWidth="1"/>
    <col min="3" max="6" width="9.140625" style="2"/>
    <col min="7" max="7" width="8.28515625" style="2" customWidth="1"/>
    <col min="8" max="9" width="9.140625" style="2"/>
    <col min="10" max="10" width="11.85546875" style="2" customWidth="1"/>
    <col min="11" max="12" width="9.140625" style="2"/>
    <col min="13" max="13" width="11" style="2" bestFit="1" customWidth="1"/>
    <col min="14" max="16384" width="9.140625" style="2"/>
  </cols>
  <sheetData>
    <row r="2" spans="2:13" ht="18.75" customHeight="1" x14ac:dyDescent="0.25">
      <c r="B2" s="1" t="s">
        <v>99</v>
      </c>
      <c r="C2" s="1"/>
      <c r="D2" s="1"/>
      <c r="E2" s="1"/>
      <c r="F2" s="1"/>
      <c r="G2" s="1"/>
    </row>
    <row r="3" spans="2:13" ht="10.5" customHeight="1" x14ac:dyDescent="0.25"/>
    <row r="4" spans="2:13" ht="15" customHeight="1" x14ac:dyDescent="0.25">
      <c r="B4" s="149" t="s">
        <v>98</v>
      </c>
      <c r="C4" s="149"/>
      <c r="D4" s="149"/>
      <c r="E4" s="149"/>
      <c r="F4" s="149"/>
      <c r="G4" s="149"/>
    </row>
    <row r="5" spans="2:13" ht="6" customHeight="1" x14ac:dyDescent="0.25"/>
    <row r="6" spans="2:13" ht="45" x14ac:dyDescent="0.25">
      <c r="B6" s="3" t="s">
        <v>41</v>
      </c>
      <c r="C6" s="4" t="s">
        <v>45</v>
      </c>
      <c r="D6" s="5" t="s">
        <v>46</v>
      </c>
      <c r="E6" s="5" t="s">
        <v>103</v>
      </c>
      <c r="F6" s="5" t="s">
        <v>104</v>
      </c>
      <c r="G6" s="33" t="s">
        <v>105</v>
      </c>
    </row>
    <row r="7" spans="2:13" x14ac:dyDescent="0.25">
      <c r="B7" s="6" t="s">
        <v>47</v>
      </c>
      <c r="C7" s="7"/>
      <c r="D7" s="8"/>
      <c r="E7" s="9"/>
      <c r="F7" s="9"/>
      <c r="G7" s="27"/>
    </row>
    <row r="8" spans="2:13" x14ac:dyDescent="0.25">
      <c r="B8" s="7"/>
      <c r="C8" s="7"/>
      <c r="D8" s="8"/>
      <c r="E8" s="9"/>
      <c r="F8" s="9"/>
      <c r="G8" s="27"/>
      <c r="L8" s="2" t="s">
        <v>129</v>
      </c>
      <c r="M8" s="2">
        <f>1725837997/10^7</f>
        <v>172.58379969999999</v>
      </c>
    </row>
    <row r="9" spans="2:13" x14ac:dyDescent="0.25">
      <c r="B9" s="6" t="s">
        <v>100</v>
      </c>
      <c r="C9" s="9"/>
      <c r="D9" s="8"/>
      <c r="E9" s="9"/>
      <c r="F9" s="9"/>
      <c r="G9" s="27"/>
    </row>
    <row r="10" spans="2:13" x14ac:dyDescent="0.25">
      <c r="B10" s="47" t="s">
        <v>3</v>
      </c>
      <c r="C10" s="9">
        <v>14644.88</v>
      </c>
      <c r="D10" s="9">
        <v>13971.96</v>
      </c>
      <c r="E10" s="9">
        <v>13307.64</v>
      </c>
      <c r="F10" s="9">
        <v>12623.4</v>
      </c>
      <c r="G10" s="9">
        <v>11965.16</v>
      </c>
      <c r="H10" s="2">
        <v>10600</v>
      </c>
      <c r="I10" s="66">
        <f>C10-$M$8</f>
        <v>14472.296200299999</v>
      </c>
      <c r="J10" s="66">
        <f t="shared" ref="J10:M10" si="0">D10-$M$8</f>
        <v>13799.376200299999</v>
      </c>
      <c r="K10" s="66">
        <f t="shared" si="0"/>
        <v>13135.0562003</v>
      </c>
      <c r="L10" s="66">
        <f t="shared" si="0"/>
        <v>12450.8162003</v>
      </c>
      <c r="M10" s="66">
        <f t="shared" si="0"/>
        <v>11792.5762003</v>
      </c>
    </row>
    <row r="11" spans="2:13" x14ac:dyDescent="0.25">
      <c r="B11" s="47" t="s">
        <v>4</v>
      </c>
      <c r="C11" s="9">
        <v>4569.07</v>
      </c>
      <c r="D11" s="9">
        <v>4571.95</v>
      </c>
      <c r="E11" s="9">
        <v>4573.8100000000004</v>
      </c>
      <c r="F11" s="9">
        <v>4573.87</v>
      </c>
      <c r="G11" s="27">
        <v>4559.66</v>
      </c>
      <c r="I11" s="66">
        <f>'P&amp;L'!C16</f>
        <v>518.82000000000005</v>
      </c>
      <c r="J11" s="66">
        <f>'P&amp;L'!D16</f>
        <v>697.91</v>
      </c>
      <c r="K11" s="66">
        <f>'P&amp;L'!E16</f>
        <v>695.21</v>
      </c>
      <c r="L11" s="66">
        <f>'P&amp;L'!F16</f>
        <v>679.41</v>
      </c>
      <c r="M11" s="66">
        <f>'P&amp;L'!G16</f>
        <v>672.38</v>
      </c>
    </row>
    <row r="12" spans="2:13" x14ac:dyDescent="0.25">
      <c r="B12" s="47" t="s">
        <v>109</v>
      </c>
      <c r="C12" s="9">
        <v>0</v>
      </c>
      <c r="D12" s="9">
        <v>0</v>
      </c>
      <c r="E12" s="9">
        <v>154.56</v>
      </c>
      <c r="F12" s="9">
        <v>152.83000000000001</v>
      </c>
      <c r="G12" s="27">
        <v>151.1</v>
      </c>
      <c r="I12" s="56">
        <f>I11/I10</f>
        <v>3.58491833513776E-2</v>
      </c>
      <c r="J12" s="56">
        <f t="shared" ref="J12:M12" si="1">J11/J10</f>
        <v>5.0575474562743451E-2</v>
      </c>
      <c r="K12" s="56">
        <f t="shared" si="1"/>
        <v>5.2927828354790117E-2</v>
      </c>
      <c r="L12" s="56">
        <f t="shared" si="1"/>
        <v>5.456750698670098E-2</v>
      </c>
      <c r="M12" s="56">
        <f t="shared" si="1"/>
        <v>5.7017227497999534E-2</v>
      </c>
    </row>
    <row r="13" spans="2:13" x14ac:dyDescent="0.25">
      <c r="B13" s="47" t="s">
        <v>5</v>
      </c>
      <c r="C13" s="9">
        <v>0</v>
      </c>
      <c r="D13" s="9">
        <v>0</v>
      </c>
      <c r="E13" s="10" t="s">
        <v>6</v>
      </c>
      <c r="F13" s="10" t="s">
        <v>6</v>
      </c>
      <c r="G13" s="38" t="s">
        <v>6</v>
      </c>
      <c r="I13" s="56"/>
      <c r="J13" s="56">
        <f>J11/I10</f>
        <v>4.8223860978296784E-2</v>
      </c>
      <c r="K13" s="56">
        <f t="shared" ref="K13:M13" si="2">K11/J10</f>
        <v>5.0379813544389501E-2</v>
      </c>
      <c r="L13" s="56">
        <f t="shared" si="2"/>
        <v>5.1724940467668686E-2</v>
      </c>
      <c r="M13" s="56">
        <f t="shared" si="2"/>
        <v>5.4002885367772042E-2</v>
      </c>
    </row>
    <row r="14" spans="2:13" ht="13.5" customHeight="1" x14ac:dyDescent="0.25">
      <c r="B14" s="48" t="s">
        <v>110</v>
      </c>
      <c r="C14" s="9">
        <v>1.84</v>
      </c>
      <c r="D14" s="10" t="s">
        <v>6</v>
      </c>
      <c r="E14" s="10" t="s">
        <v>6</v>
      </c>
      <c r="F14" s="10" t="s">
        <v>6</v>
      </c>
      <c r="G14" s="38" t="s">
        <v>6</v>
      </c>
    </row>
    <row r="15" spans="2:13" x14ac:dyDescent="0.25">
      <c r="B15" s="47" t="s">
        <v>111</v>
      </c>
      <c r="C15" s="9"/>
      <c r="D15" s="8"/>
      <c r="E15" s="9"/>
      <c r="F15" s="9"/>
      <c r="G15" s="27"/>
    </row>
    <row r="16" spans="2:13" x14ac:dyDescent="0.25">
      <c r="B16" s="34" t="s">
        <v>7</v>
      </c>
      <c r="C16" s="9">
        <v>303.57</v>
      </c>
      <c r="D16" s="11">
        <v>246.35</v>
      </c>
      <c r="E16" s="11" t="s">
        <v>6</v>
      </c>
      <c r="F16" s="11" t="s">
        <v>6</v>
      </c>
      <c r="G16" s="35" t="s">
        <v>6</v>
      </c>
    </row>
    <row r="17" spans="2:14" x14ac:dyDescent="0.25">
      <c r="B17" s="34" t="s">
        <v>48</v>
      </c>
      <c r="C17" s="9">
        <v>148.72999999999999</v>
      </c>
      <c r="D17" s="11">
        <v>210.1</v>
      </c>
      <c r="E17" s="9">
        <v>85.11</v>
      </c>
      <c r="F17" s="11" t="s">
        <v>6</v>
      </c>
      <c r="G17" s="35" t="s">
        <v>6</v>
      </c>
    </row>
    <row r="18" spans="2:14" x14ac:dyDescent="0.25">
      <c r="B18" s="34" t="s">
        <v>49</v>
      </c>
      <c r="C18" s="9">
        <v>79.989999999999995</v>
      </c>
      <c r="D18" s="11">
        <v>5.14</v>
      </c>
      <c r="E18" s="9">
        <v>8.59</v>
      </c>
      <c r="F18" s="11">
        <v>235.87</v>
      </c>
      <c r="G18" s="35">
        <v>237.99</v>
      </c>
    </row>
    <row r="19" spans="2:14" x14ac:dyDescent="0.25">
      <c r="B19" s="47" t="s">
        <v>112</v>
      </c>
      <c r="C19" s="9">
        <v>929.23</v>
      </c>
      <c r="D19" s="11">
        <v>775.91</v>
      </c>
      <c r="E19" s="9">
        <v>614.76</v>
      </c>
      <c r="F19" s="11">
        <v>448.44</v>
      </c>
      <c r="G19" s="35" t="s">
        <v>6</v>
      </c>
      <c r="J19" s="51">
        <v>2018</v>
      </c>
      <c r="K19" s="51">
        <f>J19+1</f>
        <v>2019</v>
      </c>
      <c r="L19" s="51">
        <f t="shared" ref="L19:N19" si="3">K19+1</f>
        <v>2020</v>
      </c>
      <c r="M19" s="51">
        <f t="shared" si="3"/>
        <v>2021</v>
      </c>
      <c r="N19" s="52">
        <f t="shared" si="3"/>
        <v>2022</v>
      </c>
    </row>
    <row r="20" spans="2:14" x14ac:dyDescent="0.25">
      <c r="B20" s="47" t="s">
        <v>113</v>
      </c>
      <c r="C20" s="9">
        <v>306.99</v>
      </c>
      <c r="D20" s="11">
        <v>189.3</v>
      </c>
      <c r="E20" s="9">
        <v>64.88</v>
      </c>
      <c r="F20" s="11">
        <v>52.29</v>
      </c>
      <c r="G20" s="35">
        <v>60.22</v>
      </c>
      <c r="H20" s="2">
        <v>6.02</v>
      </c>
      <c r="J20" s="121">
        <f>C10-172.58+C12</f>
        <v>14472.3</v>
      </c>
      <c r="K20" s="121">
        <f t="shared" ref="K20:N20" si="4">D10-172.58+D12</f>
        <v>13799.38</v>
      </c>
      <c r="L20" s="121">
        <f t="shared" si="4"/>
        <v>13289.619999999999</v>
      </c>
      <c r="M20" s="121">
        <f t="shared" si="4"/>
        <v>12603.65</v>
      </c>
      <c r="N20" s="121">
        <f t="shared" si="4"/>
        <v>11943.68</v>
      </c>
    </row>
    <row r="21" spans="2:14" x14ac:dyDescent="0.25">
      <c r="B21" s="7"/>
      <c r="C21" s="12">
        <f t="shared" ref="C21:H21" si="5">SUM(C10:C20)</f>
        <v>20984.3</v>
      </c>
      <c r="D21" s="12">
        <f t="shared" si="5"/>
        <v>19970.709999999995</v>
      </c>
      <c r="E21" s="12">
        <f t="shared" si="5"/>
        <v>18809.350000000002</v>
      </c>
      <c r="F21" s="12">
        <f t="shared" si="5"/>
        <v>18086.7</v>
      </c>
      <c r="G21" s="28">
        <f t="shared" si="5"/>
        <v>16974.13</v>
      </c>
      <c r="H21" s="28">
        <f t="shared" si="5"/>
        <v>10606.02</v>
      </c>
      <c r="I21" s="68"/>
      <c r="J21" s="122">
        <f>'P&amp;L'!C16</f>
        <v>518.82000000000005</v>
      </c>
      <c r="K21" s="122">
        <f>'P&amp;L'!D16</f>
        <v>697.91</v>
      </c>
      <c r="L21" s="122">
        <f>'P&amp;L'!E16</f>
        <v>695.21</v>
      </c>
      <c r="M21" s="122">
        <f>'P&amp;L'!F16</f>
        <v>679.41</v>
      </c>
      <c r="N21" s="122">
        <f>'P&amp;L'!G16</f>
        <v>672.38</v>
      </c>
    </row>
    <row r="22" spans="2:14" x14ac:dyDescent="0.25">
      <c r="B22" s="7"/>
      <c r="C22" s="9"/>
      <c r="D22" s="8"/>
      <c r="E22" s="9"/>
      <c r="F22" s="9"/>
      <c r="G22" s="27"/>
      <c r="I22" s="68"/>
      <c r="J22" s="119"/>
      <c r="K22" s="57">
        <f>K21/J20</f>
        <v>4.8223848317129968E-2</v>
      </c>
      <c r="L22" s="57">
        <f t="shared" ref="L22:N22" si="6">L21/K20</f>
        <v>5.0379799672159192E-2</v>
      </c>
      <c r="M22" s="57">
        <f t="shared" si="6"/>
        <v>5.1123357928970131E-2</v>
      </c>
      <c r="N22" s="57">
        <f t="shared" si="6"/>
        <v>5.334803806833735E-2</v>
      </c>
    </row>
    <row r="23" spans="2:14" x14ac:dyDescent="0.25">
      <c r="B23" s="6" t="s">
        <v>101</v>
      </c>
      <c r="C23" s="9"/>
      <c r="D23" s="8"/>
      <c r="E23" s="9"/>
      <c r="F23" s="9"/>
      <c r="G23" s="27"/>
      <c r="I23" s="68"/>
      <c r="J23" s="68"/>
      <c r="K23" s="57">
        <f>AVERAGE(K22:N22)</f>
        <v>5.0768760996649162E-2</v>
      </c>
      <c r="L23" s="57"/>
      <c r="M23" s="57"/>
      <c r="N23" s="57"/>
    </row>
    <row r="24" spans="2:14" x14ac:dyDescent="0.25">
      <c r="B24" s="47" t="s">
        <v>50</v>
      </c>
      <c r="C24" s="9">
        <v>76.180000000000007</v>
      </c>
      <c r="D24" s="11">
        <v>105.24</v>
      </c>
      <c r="E24" s="9">
        <v>166.48</v>
      </c>
      <c r="F24" s="9">
        <v>125.86</v>
      </c>
      <c r="G24" s="27">
        <v>149.19</v>
      </c>
      <c r="H24" s="2">
        <f>G24*0.25</f>
        <v>37.297499999999999</v>
      </c>
      <c r="I24" s="68"/>
    </row>
    <row r="25" spans="2:14" x14ac:dyDescent="0.25">
      <c r="B25" s="47" t="s">
        <v>2</v>
      </c>
      <c r="C25" s="9"/>
      <c r="D25" s="8"/>
      <c r="E25" s="9"/>
      <c r="F25" s="9"/>
      <c r="G25" s="27"/>
      <c r="I25" s="68"/>
      <c r="J25"/>
    </row>
    <row r="26" spans="2:14" x14ac:dyDescent="0.25">
      <c r="B26" s="34" t="s">
        <v>7</v>
      </c>
      <c r="C26" s="9">
        <v>12.82</v>
      </c>
      <c r="D26" s="10" t="s">
        <v>6</v>
      </c>
      <c r="E26" s="10" t="s">
        <v>6</v>
      </c>
      <c r="F26" s="9" t="s">
        <v>6</v>
      </c>
      <c r="G26" s="27" t="s">
        <v>6</v>
      </c>
      <c r="I26" s="68"/>
      <c r="J26" s="67"/>
    </row>
    <row r="27" spans="2:14" x14ac:dyDescent="0.25">
      <c r="B27" s="34" t="s">
        <v>51</v>
      </c>
      <c r="C27" s="9">
        <v>3056.15</v>
      </c>
      <c r="D27" s="9">
        <v>3637.22</v>
      </c>
      <c r="E27" s="9">
        <v>4266.6499999999996</v>
      </c>
      <c r="F27" s="9">
        <v>2778.76</v>
      </c>
      <c r="G27" s="27">
        <v>4319.84</v>
      </c>
      <c r="H27" s="2">
        <f>G27*0.8</f>
        <v>3455.8720000000003</v>
      </c>
      <c r="I27" s="68"/>
    </row>
    <row r="28" spans="2:14" x14ac:dyDescent="0.25">
      <c r="B28" s="34" t="s">
        <v>52</v>
      </c>
      <c r="C28" s="9">
        <f>CFS!C57</f>
        <v>70.400000000000276</v>
      </c>
      <c r="D28" s="9">
        <f>CFS!D57</f>
        <v>30.070000000000348</v>
      </c>
      <c r="E28" s="9">
        <f>CFS!E57</f>
        <v>81.83000000000068</v>
      </c>
      <c r="F28" s="9">
        <f>CFS!F57</f>
        <v>2872.3899999999994</v>
      </c>
      <c r="G28" s="27">
        <f>CFS!G57</f>
        <v>2950.5599999999995</v>
      </c>
      <c r="I28" s="68"/>
    </row>
    <row r="29" spans="2:14" x14ac:dyDescent="0.25">
      <c r="B29" s="34" t="s">
        <v>53</v>
      </c>
      <c r="C29" s="9">
        <v>348.81</v>
      </c>
      <c r="D29" s="11">
        <v>10.83</v>
      </c>
      <c r="E29" s="9">
        <v>7.37</v>
      </c>
      <c r="F29" s="9">
        <v>12.47</v>
      </c>
      <c r="G29" s="27">
        <v>35.32</v>
      </c>
      <c r="I29" s="68"/>
    </row>
    <row r="30" spans="2:14" x14ac:dyDescent="0.25">
      <c r="B30" s="34" t="s">
        <v>54</v>
      </c>
      <c r="C30" s="9">
        <v>536.99</v>
      </c>
      <c r="D30" s="11">
        <v>673.13</v>
      </c>
      <c r="E30" s="9">
        <v>543.98</v>
      </c>
      <c r="F30" s="9" t="s">
        <v>6</v>
      </c>
      <c r="G30" s="27" t="s">
        <v>6</v>
      </c>
      <c r="I30" s="68"/>
    </row>
    <row r="31" spans="2:14" x14ac:dyDescent="0.25">
      <c r="B31" s="34" t="s">
        <v>55</v>
      </c>
      <c r="C31" s="9">
        <v>8.51</v>
      </c>
      <c r="D31" s="11">
        <v>127.94</v>
      </c>
      <c r="E31" s="9">
        <v>0.19</v>
      </c>
      <c r="F31" s="9">
        <v>528.28</v>
      </c>
      <c r="G31" s="27">
        <v>530.09</v>
      </c>
    </row>
    <row r="32" spans="2:14" x14ac:dyDescent="0.25">
      <c r="B32" s="47" t="s">
        <v>8</v>
      </c>
      <c r="C32" s="9">
        <v>649.5</v>
      </c>
      <c r="D32" s="11">
        <v>598.1</v>
      </c>
      <c r="E32" s="9">
        <v>762.38</v>
      </c>
      <c r="F32" s="9">
        <v>731</v>
      </c>
      <c r="G32" s="27">
        <v>766.71</v>
      </c>
      <c r="H32" s="2">
        <f>G32*0.1</f>
        <v>76.671000000000006</v>
      </c>
    </row>
    <row r="33" spans="2:8" x14ac:dyDescent="0.25">
      <c r="B33" s="7"/>
      <c r="C33" s="12">
        <f>SUM(C24:C32)</f>
        <v>4759.3600000000006</v>
      </c>
      <c r="D33" s="12">
        <f t="shared" ref="D33:H33" si="7">SUM(D24:D32)</f>
        <v>5182.53</v>
      </c>
      <c r="E33" s="12">
        <f t="shared" si="7"/>
        <v>5828.8799999999992</v>
      </c>
      <c r="F33" s="12">
        <f t="shared" si="7"/>
        <v>7048.76</v>
      </c>
      <c r="G33" s="28">
        <f t="shared" si="7"/>
        <v>8751.7099999999991</v>
      </c>
      <c r="H33" s="28">
        <f t="shared" si="7"/>
        <v>3569.8405000000002</v>
      </c>
    </row>
    <row r="34" spans="2:8" x14ac:dyDescent="0.25">
      <c r="B34" s="13" t="s">
        <v>56</v>
      </c>
      <c r="C34" s="14">
        <f>C33+C21</f>
        <v>25743.66</v>
      </c>
      <c r="D34" s="14">
        <f t="shared" ref="D34:H34" si="8">D33+D21</f>
        <v>25153.239999999994</v>
      </c>
      <c r="E34" s="14">
        <f t="shared" si="8"/>
        <v>24638.230000000003</v>
      </c>
      <c r="F34" s="14">
        <f t="shared" si="8"/>
        <v>25135.46</v>
      </c>
      <c r="G34" s="36">
        <f t="shared" si="8"/>
        <v>25725.84</v>
      </c>
      <c r="H34" s="36">
        <f t="shared" si="8"/>
        <v>14175.860500000001</v>
      </c>
    </row>
    <row r="35" spans="2:8" x14ac:dyDescent="0.25">
      <c r="B35" s="7"/>
      <c r="C35" s="9"/>
      <c r="D35" s="8"/>
      <c r="E35" s="9"/>
      <c r="F35" s="9"/>
      <c r="G35" s="37"/>
    </row>
    <row r="36" spans="2:8" x14ac:dyDescent="0.25">
      <c r="B36" s="6" t="s">
        <v>57</v>
      </c>
      <c r="C36" s="9"/>
      <c r="D36" s="8"/>
      <c r="E36" s="9"/>
      <c r="F36" s="9"/>
      <c r="G36" s="27"/>
    </row>
    <row r="37" spans="2:8" x14ac:dyDescent="0.25">
      <c r="B37" s="7"/>
      <c r="C37" s="9"/>
      <c r="D37" s="8"/>
      <c r="E37" s="9"/>
      <c r="F37" s="9"/>
      <c r="G37" s="27"/>
    </row>
    <row r="38" spans="2:8" x14ac:dyDescent="0.25">
      <c r="B38" s="6" t="s">
        <v>102</v>
      </c>
      <c r="C38" s="9"/>
      <c r="D38" s="8"/>
      <c r="E38" s="9"/>
      <c r="F38" s="9"/>
      <c r="G38" s="27"/>
    </row>
    <row r="39" spans="2:8" x14ac:dyDescent="0.25">
      <c r="B39" s="47" t="s">
        <v>9</v>
      </c>
      <c r="C39" s="9">
        <v>3609.5</v>
      </c>
      <c r="D39" s="9">
        <v>3609.5</v>
      </c>
      <c r="E39" s="9">
        <v>3609.5</v>
      </c>
      <c r="F39" s="9">
        <v>3609.5</v>
      </c>
      <c r="G39" s="27">
        <v>3609.5</v>
      </c>
    </row>
    <row r="40" spans="2:8" x14ac:dyDescent="0.25">
      <c r="B40" s="47" t="s">
        <v>0</v>
      </c>
      <c r="C40" s="9">
        <v>-1757.47</v>
      </c>
      <c r="D40" s="9">
        <v>-2468.1799999999998</v>
      </c>
      <c r="E40" s="9">
        <v>-2994.04</v>
      </c>
      <c r="F40" s="9">
        <v>-2909.28</v>
      </c>
      <c r="G40" s="27">
        <v>-2575.5500000000002</v>
      </c>
    </row>
    <row r="41" spans="2:8" x14ac:dyDescent="0.25">
      <c r="B41" s="7"/>
      <c r="C41" s="12">
        <f>SUM(C39:C40)</f>
        <v>1852.03</v>
      </c>
      <c r="D41" s="12">
        <f>SUM(D39:D40)</f>
        <v>1141.3200000000002</v>
      </c>
      <c r="E41" s="12">
        <f t="shared" ref="E41:G41" si="9">SUM(E39:E40)</f>
        <v>615.46</v>
      </c>
      <c r="F41" s="12">
        <f t="shared" si="9"/>
        <v>700.2199999999998</v>
      </c>
      <c r="G41" s="28">
        <f t="shared" si="9"/>
        <v>1033.9499999999998</v>
      </c>
    </row>
    <row r="42" spans="2:8" x14ac:dyDescent="0.25">
      <c r="B42" s="6" t="s">
        <v>58</v>
      </c>
      <c r="C42" s="9"/>
      <c r="D42" s="8"/>
      <c r="E42" s="9"/>
      <c r="F42" s="9"/>
      <c r="G42" s="27"/>
    </row>
    <row r="43" spans="2:8" x14ac:dyDescent="0.25">
      <c r="B43" s="47" t="s">
        <v>10</v>
      </c>
      <c r="C43" s="9"/>
      <c r="D43" s="8"/>
      <c r="E43" s="9"/>
      <c r="F43" s="9"/>
      <c r="G43" s="27"/>
    </row>
    <row r="44" spans="2:8" x14ac:dyDescent="0.25">
      <c r="B44" s="34" t="s">
        <v>11</v>
      </c>
      <c r="C44" s="9">
        <v>17571.41</v>
      </c>
      <c r="D44" s="9">
        <v>16478.68</v>
      </c>
      <c r="E44" s="9">
        <v>15373.41</v>
      </c>
      <c r="F44" s="9" t="s">
        <v>6</v>
      </c>
      <c r="G44" s="27" t="s">
        <v>6</v>
      </c>
    </row>
    <row r="45" spans="2:8" x14ac:dyDescent="0.25">
      <c r="B45" s="34" t="s">
        <v>12</v>
      </c>
      <c r="C45" s="10" t="s">
        <v>6</v>
      </c>
      <c r="D45" s="10" t="s">
        <v>6</v>
      </c>
      <c r="E45" s="9">
        <v>27.41</v>
      </c>
      <c r="F45" s="9">
        <v>27.39</v>
      </c>
      <c r="G45" s="27">
        <v>27.39</v>
      </c>
    </row>
    <row r="46" spans="2:8" x14ac:dyDescent="0.25">
      <c r="B46" s="47" t="s">
        <v>1</v>
      </c>
      <c r="C46" s="9">
        <v>6.16</v>
      </c>
      <c r="D46" s="11">
        <v>7.21</v>
      </c>
      <c r="E46" s="9">
        <v>11.03</v>
      </c>
      <c r="F46" s="9">
        <v>12.86</v>
      </c>
      <c r="G46" s="27">
        <v>11.19</v>
      </c>
    </row>
    <row r="47" spans="2:8" x14ac:dyDescent="0.25">
      <c r="B47" s="7"/>
      <c r="C47" s="12">
        <f>SUM(C44:C46)</f>
        <v>17577.57</v>
      </c>
      <c r="D47" s="12">
        <f t="shared" ref="D47:G47" si="10">SUM(D44:D46)</f>
        <v>16485.89</v>
      </c>
      <c r="E47" s="12">
        <f t="shared" si="10"/>
        <v>15411.85</v>
      </c>
      <c r="F47" s="12">
        <f t="shared" si="10"/>
        <v>40.25</v>
      </c>
      <c r="G47" s="28">
        <f t="shared" si="10"/>
        <v>38.58</v>
      </c>
    </row>
    <row r="48" spans="2:8" x14ac:dyDescent="0.25">
      <c r="B48" s="7"/>
      <c r="C48" s="9"/>
      <c r="D48" s="8"/>
      <c r="E48" s="9"/>
      <c r="F48" s="9"/>
      <c r="G48" s="27"/>
    </row>
    <row r="49" spans="2:11" x14ac:dyDescent="0.25">
      <c r="B49" s="6" t="s">
        <v>59</v>
      </c>
      <c r="C49" s="9"/>
      <c r="D49" s="8"/>
      <c r="E49" s="9"/>
      <c r="F49" s="9"/>
      <c r="G49" s="27"/>
    </row>
    <row r="50" spans="2:11" x14ac:dyDescent="0.25">
      <c r="B50" s="47" t="s">
        <v>10</v>
      </c>
      <c r="C50" s="9"/>
      <c r="D50" s="8"/>
      <c r="E50" s="9"/>
      <c r="F50" s="9"/>
      <c r="G50" s="27"/>
    </row>
    <row r="51" spans="2:11" x14ac:dyDescent="0.25">
      <c r="B51" s="34" t="s">
        <v>11</v>
      </c>
      <c r="C51" s="9">
        <v>1455.56</v>
      </c>
      <c r="D51" s="9">
        <v>1459.01</v>
      </c>
      <c r="E51" s="9">
        <v>1451.51</v>
      </c>
      <c r="F51" s="9">
        <v>20076.09</v>
      </c>
      <c r="G51" s="27">
        <v>20110.87</v>
      </c>
    </row>
    <row r="52" spans="2:11" x14ac:dyDescent="0.25">
      <c r="B52" s="34" t="s">
        <v>12</v>
      </c>
      <c r="C52" s="9" t="s">
        <v>6</v>
      </c>
      <c r="D52" s="9" t="s">
        <v>6</v>
      </c>
      <c r="E52" s="9" t="s">
        <v>6</v>
      </c>
      <c r="F52" s="9">
        <v>38.17</v>
      </c>
      <c r="G52" s="27">
        <v>46.02</v>
      </c>
    </row>
    <row r="53" spans="2:11" x14ac:dyDescent="0.25">
      <c r="B53" s="34" t="s">
        <v>13</v>
      </c>
      <c r="C53" s="9" t="s">
        <v>6</v>
      </c>
      <c r="D53" s="9" t="s">
        <v>6</v>
      </c>
      <c r="E53" s="9" t="s">
        <v>6</v>
      </c>
      <c r="F53" s="9" t="s">
        <v>6</v>
      </c>
      <c r="G53" s="27" t="s">
        <v>6</v>
      </c>
    </row>
    <row r="54" spans="2:11" ht="17.25" customHeight="1" x14ac:dyDescent="0.25">
      <c r="B54" s="49" t="s">
        <v>14</v>
      </c>
      <c r="C54" s="9">
        <v>12.76</v>
      </c>
      <c r="D54" s="11">
        <v>46.2</v>
      </c>
      <c r="E54" s="9">
        <v>41.59</v>
      </c>
      <c r="F54" s="9">
        <v>40.6</v>
      </c>
      <c r="G54" s="27">
        <v>52.52</v>
      </c>
      <c r="H54" s="66">
        <f>G54</f>
        <v>52.52</v>
      </c>
    </row>
    <row r="55" spans="2:11" ht="13.5" customHeight="1" x14ac:dyDescent="0.25">
      <c r="B55" s="49" t="s">
        <v>15</v>
      </c>
      <c r="C55" s="9">
        <v>849.09</v>
      </c>
      <c r="D55" s="11">
        <v>796.91</v>
      </c>
      <c r="E55" s="9">
        <v>700.38</v>
      </c>
      <c r="F55" s="9">
        <v>1074.94</v>
      </c>
      <c r="G55" s="27">
        <v>1187.93</v>
      </c>
      <c r="H55" s="66">
        <f>G55</f>
        <v>1187.93</v>
      </c>
    </row>
    <row r="56" spans="2:11" x14ac:dyDescent="0.25">
      <c r="B56" s="34" t="s">
        <v>16</v>
      </c>
      <c r="C56" s="9">
        <v>3979.58</v>
      </c>
      <c r="D56" s="9">
        <v>5017.2700000000004</v>
      </c>
      <c r="E56" s="9">
        <v>6159.91</v>
      </c>
      <c r="F56" s="9">
        <v>2860.32</v>
      </c>
      <c r="G56" s="27">
        <v>2900.59</v>
      </c>
    </row>
    <row r="57" spans="2:11" x14ac:dyDescent="0.25">
      <c r="B57" s="47" t="s">
        <v>17</v>
      </c>
      <c r="C57" s="9">
        <v>17.07</v>
      </c>
      <c r="D57" s="11">
        <v>206.64</v>
      </c>
      <c r="E57" s="9">
        <v>257.52999999999997</v>
      </c>
      <c r="F57" s="9">
        <v>304.87</v>
      </c>
      <c r="G57" s="27">
        <v>355.38</v>
      </c>
      <c r="H57" s="66">
        <f>G57</f>
        <v>355.38</v>
      </c>
    </row>
    <row r="58" spans="2:11" x14ac:dyDescent="0.25">
      <c r="B58" s="47" t="s">
        <v>60</v>
      </c>
      <c r="C58" s="9" t="s">
        <v>6</v>
      </c>
      <c r="D58" s="9" t="s">
        <v>6</v>
      </c>
      <c r="E58" s="9" t="s">
        <v>6</v>
      </c>
      <c r="F58" s="9" t="s">
        <v>6</v>
      </c>
      <c r="G58" s="27" t="s">
        <v>6</v>
      </c>
    </row>
    <row r="59" spans="2:11" x14ac:dyDescent="0.25">
      <c r="B59" s="47" t="s">
        <v>61</v>
      </c>
      <c r="C59" s="9" t="s">
        <v>6</v>
      </c>
      <c r="D59" s="9" t="s">
        <v>6</v>
      </c>
      <c r="E59" s="9" t="s">
        <v>6</v>
      </c>
      <c r="F59" s="9" t="s">
        <v>6</v>
      </c>
      <c r="G59" s="27" t="s">
        <v>6</v>
      </c>
    </row>
    <row r="60" spans="2:11" x14ac:dyDescent="0.25">
      <c r="B60" s="7"/>
      <c r="C60" s="12">
        <f>SUM(C51:C59)</f>
        <v>6314.0599999999995</v>
      </c>
      <c r="D60" s="12">
        <f>SUM(D51:D59)</f>
        <v>7526.0300000000007</v>
      </c>
      <c r="E60" s="12">
        <f t="shared" ref="E60:H60" si="11">SUM(E51:E59)</f>
        <v>8610.92</v>
      </c>
      <c r="F60" s="12">
        <f t="shared" si="11"/>
        <v>24394.989999999994</v>
      </c>
      <c r="G60" s="28">
        <f t="shared" si="11"/>
        <v>24653.31</v>
      </c>
      <c r="H60" s="28">
        <f t="shared" si="11"/>
        <v>1595.83</v>
      </c>
      <c r="J60" s="66">
        <f>H34-H60</f>
        <v>12580.030500000001</v>
      </c>
      <c r="K60" s="2">
        <f>J60*0.8</f>
        <v>10064.024400000002</v>
      </c>
    </row>
    <row r="61" spans="2:11" x14ac:dyDescent="0.25">
      <c r="B61" s="13" t="s">
        <v>62</v>
      </c>
      <c r="C61" s="14">
        <f>C60+C47+C41</f>
        <v>25743.659999999996</v>
      </c>
      <c r="D61" s="14">
        <f>D60+D47+D41</f>
        <v>25153.239999999998</v>
      </c>
      <c r="E61" s="14">
        <f t="shared" ref="E61:G61" si="12">E60+E47+E41</f>
        <v>24638.23</v>
      </c>
      <c r="F61" s="14">
        <f t="shared" si="12"/>
        <v>25135.459999999995</v>
      </c>
      <c r="G61" s="36">
        <f t="shared" si="12"/>
        <v>25725.840000000004</v>
      </c>
    </row>
    <row r="63" spans="2:11" ht="11.25" customHeight="1" x14ac:dyDescent="0.25">
      <c r="B63" s="45" t="s">
        <v>108</v>
      </c>
      <c r="C63" s="46" t="str">
        <f>IF(C61=C34,"YES","NO")</f>
        <v>YES</v>
      </c>
      <c r="D63" s="46" t="str">
        <f t="shared" ref="D63:G63" si="13">IF(D61=D34,"YES","NO")</f>
        <v>YES</v>
      </c>
      <c r="E63" s="46" t="str">
        <f t="shared" si="13"/>
        <v>YES</v>
      </c>
      <c r="F63" s="46" t="str">
        <f t="shared" si="13"/>
        <v>YES</v>
      </c>
      <c r="G63" s="46" t="str">
        <f t="shared" si="13"/>
        <v>YES</v>
      </c>
    </row>
  </sheetData>
  <mergeCells count="1">
    <mergeCell ref="B4:G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62275-2B49-403A-BE28-0942FD4E65CD}">
  <sheetPr>
    <tabColor rgb="FF00B0F0"/>
  </sheetPr>
  <dimension ref="B2:L38"/>
  <sheetViews>
    <sheetView showGridLines="0" workbookViewId="0">
      <selection activeCell="I19" sqref="I19"/>
    </sheetView>
  </sheetViews>
  <sheetFormatPr defaultRowHeight="15" x14ac:dyDescent="0.25"/>
  <cols>
    <col min="1" max="1" width="4.5703125" customWidth="1"/>
    <col min="2" max="2" width="5.5703125" customWidth="1"/>
    <col min="3" max="3" width="35.85546875" customWidth="1"/>
    <col min="4" max="4" width="14.7109375" customWidth="1"/>
    <col min="5" max="5" width="11.42578125" customWidth="1"/>
    <col min="6" max="6" width="11.85546875" customWidth="1"/>
    <col min="7" max="7" width="4.42578125" customWidth="1"/>
    <col min="9" max="9" width="12.42578125" customWidth="1"/>
    <col min="10" max="10" width="11.28515625" bestFit="1" customWidth="1"/>
    <col min="11" max="11" width="12.5703125" customWidth="1"/>
    <col min="12" max="12" width="11.28515625" customWidth="1"/>
  </cols>
  <sheetData>
    <row r="2" spans="2:12" x14ac:dyDescent="0.25">
      <c r="B2" s="90" t="s">
        <v>99</v>
      </c>
      <c r="C2" s="90"/>
      <c r="D2" s="91"/>
      <c r="E2" s="89"/>
      <c r="F2" s="89"/>
      <c r="G2" s="89"/>
      <c r="H2" s="89"/>
      <c r="I2" s="89"/>
      <c r="J2" s="89"/>
      <c r="K2" s="89"/>
      <c r="L2" s="89"/>
    </row>
    <row r="3" spans="2:12" ht="10.5" customHeight="1" x14ac:dyDescent="0.25"/>
    <row r="4" spans="2:12" x14ac:dyDescent="0.25">
      <c r="B4" s="149" t="s">
        <v>133</v>
      </c>
      <c r="C4" s="149"/>
      <c r="D4" s="69"/>
      <c r="E4" s="69"/>
      <c r="F4" s="69"/>
      <c r="G4" s="69"/>
      <c r="H4" s="69"/>
      <c r="I4" s="69"/>
      <c r="J4" s="69"/>
      <c r="K4" s="69"/>
      <c r="L4" s="69"/>
    </row>
    <row r="5" spans="2:12" ht="8.25" customHeight="1" x14ac:dyDescent="0.25"/>
    <row r="6" spans="2:12" x14ac:dyDescent="0.25">
      <c r="B6" s="78"/>
      <c r="C6" s="78" t="s">
        <v>134</v>
      </c>
      <c r="D6" s="159" t="s">
        <v>135</v>
      </c>
      <c r="E6" s="159"/>
      <c r="F6" s="159"/>
      <c r="G6" s="88"/>
      <c r="H6" s="159" t="s">
        <v>136</v>
      </c>
      <c r="I6" s="159"/>
      <c r="J6" s="160" t="s">
        <v>137</v>
      </c>
      <c r="K6" s="160"/>
      <c r="L6" s="160"/>
    </row>
    <row r="7" spans="2:12" ht="43.5" customHeight="1" x14ac:dyDescent="0.25">
      <c r="B7" s="78" t="s">
        <v>154</v>
      </c>
      <c r="C7" s="70" t="s">
        <v>138</v>
      </c>
      <c r="D7" s="87" t="s">
        <v>139</v>
      </c>
      <c r="E7" s="87" t="s">
        <v>140</v>
      </c>
      <c r="F7" s="78" t="s">
        <v>141</v>
      </c>
      <c r="G7" s="87"/>
      <c r="H7" s="78" t="s">
        <v>142</v>
      </c>
      <c r="I7" s="87" t="s">
        <v>143</v>
      </c>
      <c r="J7" s="78" t="s">
        <v>144</v>
      </c>
      <c r="K7" s="78" t="s">
        <v>130</v>
      </c>
      <c r="L7" s="78" t="s">
        <v>145</v>
      </c>
    </row>
    <row r="8" spans="2:12" ht="15.95" customHeight="1" x14ac:dyDescent="0.25">
      <c r="B8" s="71">
        <v>1</v>
      </c>
      <c r="C8" s="92" t="s">
        <v>157</v>
      </c>
      <c r="D8" s="73">
        <v>87.2</v>
      </c>
      <c r="E8" s="73">
        <v>1318.91</v>
      </c>
      <c r="F8" s="73">
        <v>1554.19</v>
      </c>
      <c r="G8" s="103"/>
      <c r="H8" s="73">
        <v>1166.9000000000001</v>
      </c>
      <c r="I8" s="73">
        <v>11.38</v>
      </c>
      <c r="J8" s="74">
        <f>F8/H8</f>
        <v>1.3318964778472877</v>
      </c>
      <c r="K8" s="74">
        <v>3.49</v>
      </c>
      <c r="L8" s="74">
        <v>7.67</v>
      </c>
    </row>
    <row r="9" spans="2:12" ht="15.95" customHeight="1" x14ac:dyDescent="0.25">
      <c r="B9" s="71">
        <f>B8+1</f>
        <v>2</v>
      </c>
      <c r="C9" s="92" t="s">
        <v>158</v>
      </c>
      <c r="D9" s="73">
        <v>3.9</v>
      </c>
      <c r="E9" s="73">
        <v>2094.34</v>
      </c>
      <c r="F9" s="73">
        <v>6268.95</v>
      </c>
      <c r="G9" s="103"/>
      <c r="H9" s="76">
        <v>3259.52</v>
      </c>
      <c r="I9" s="76">
        <v>0.68</v>
      </c>
      <c r="J9" s="74">
        <f t="shared" ref="J9:J13" si="0">F9/H9</f>
        <v>1.9232739789907716</v>
      </c>
      <c r="K9" s="74">
        <v>5.49</v>
      </c>
      <c r="L9" s="74">
        <v>5.71</v>
      </c>
    </row>
    <row r="10" spans="2:12" ht="15.95" customHeight="1" x14ac:dyDescent="0.25">
      <c r="B10" s="71">
        <f>B9+1</f>
        <v>3</v>
      </c>
      <c r="C10" s="75" t="s">
        <v>131</v>
      </c>
      <c r="D10" s="76">
        <v>12.95</v>
      </c>
      <c r="E10" s="73">
        <v>1261.06</v>
      </c>
      <c r="F10" s="76">
        <v>1559.76</v>
      </c>
      <c r="G10" s="103"/>
      <c r="H10" s="76">
        <v>515.47</v>
      </c>
      <c r="I10" s="76">
        <v>0.19</v>
      </c>
      <c r="J10" s="74">
        <f t="shared" si="0"/>
        <v>3.0258986943954058</v>
      </c>
      <c r="K10" s="74">
        <v>17.71</v>
      </c>
      <c r="L10" s="74">
        <v>68.959999999999994</v>
      </c>
    </row>
    <row r="11" spans="2:12" ht="15.95" customHeight="1" x14ac:dyDescent="0.25">
      <c r="B11" s="71">
        <f>B10+1</f>
        <v>4</v>
      </c>
      <c r="C11" s="92" t="s">
        <v>132</v>
      </c>
      <c r="D11" s="73">
        <v>22.4</v>
      </c>
      <c r="E11" s="73">
        <v>1336.96</v>
      </c>
      <c r="F11" s="76">
        <v>5850.93</v>
      </c>
      <c r="G11" s="103"/>
      <c r="H11" s="76">
        <v>1179.6600000000001</v>
      </c>
      <c r="I11" s="76">
        <v>-0.81</v>
      </c>
      <c r="J11" s="74">
        <f t="shared" si="0"/>
        <v>4.9598443619347945</v>
      </c>
      <c r="K11" s="74">
        <v>13.56</v>
      </c>
      <c r="L11" s="74">
        <v>-41.48</v>
      </c>
    </row>
    <row r="12" spans="2:12" ht="15.95" customHeight="1" x14ac:dyDescent="0.25">
      <c r="B12" s="71">
        <f>B11+1</f>
        <v>5</v>
      </c>
      <c r="C12" s="72" t="s">
        <v>155</v>
      </c>
      <c r="D12" s="76">
        <v>133.85</v>
      </c>
      <c r="E12" s="73">
        <v>3844.04</v>
      </c>
      <c r="F12" s="76">
        <v>7558.99</v>
      </c>
      <c r="G12" s="103"/>
      <c r="H12" s="76">
        <v>1467.37</v>
      </c>
      <c r="I12" s="76">
        <v>-16.38</v>
      </c>
      <c r="J12" s="74">
        <f t="shared" si="0"/>
        <v>5.1513864942039165</v>
      </c>
      <c r="K12" s="74">
        <v>30.43</v>
      </c>
      <c r="L12" s="74">
        <v>0</v>
      </c>
    </row>
    <row r="13" spans="2:12" ht="17.25" customHeight="1" x14ac:dyDescent="0.25">
      <c r="B13" s="71">
        <f>B12+1</f>
        <v>6</v>
      </c>
      <c r="C13" s="72" t="s">
        <v>156</v>
      </c>
      <c r="D13" s="76">
        <v>255.75</v>
      </c>
      <c r="E13" s="73">
        <v>3710.95</v>
      </c>
      <c r="F13" s="76">
        <v>3692.08</v>
      </c>
      <c r="G13" s="103"/>
      <c r="H13" s="76">
        <v>1678.47</v>
      </c>
      <c r="I13" s="76">
        <v>31.4</v>
      </c>
      <c r="J13" s="74">
        <f t="shared" si="0"/>
        <v>2.1996699375026063</v>
      </c>
      <c r="K13" s="74">
        <v>5.41</v>
      </c>
      <c r="L13" s="74">
        <v>8.14</v>
      </c>
    </row>
    <row r="14" spans="2:12" x14ac:dyDescent="0.25">
      <c r="D14" s="68"/>
      <c r="E14" s="68"/>
      <c r="F14" s="68"/>
      <c r="G14" s="68"/>
      <c r="H14" s="68"/>
      <c r="I14" s="68"/>
      <c r="J14" s="68"/>
      <c r="K14" s="68"/>
      <c r="L14" s="68"/>
    </row>
    <row r="15" spans="2:12" x14ac:dyDescent="0.25">
      <c r="C15" s="77" t="s">
        <v>146</v>
      </c>
      <c r="D15" s="85"/>
      <c r="E15" s="85"/>
      <c r="F15" s="85"/>
      <c r="G15" s="85"/>
      <c r="H15" s="85"/>
      <c r="I15" s="85"/>
      <c r="J15" s="86">
        <f>AVERAGE(J8:J14)</f>
        <v>3.0986616574791301</v>
      </c>
      <c r="K15" s="86">
        <f>AVERAGE(K8:K13)</f>
        <v>12.681666666666667</v>
      </c>
      <c r="L15" s="86">
        <f>AVERAGE(L8:L13)</f>
        <v>8.1666666666666661</v>
      </c>
    </row>
    <row r="16" spans="2:12" x14ac:dyDescent="0.25">
      <c r="C16" s="77" t="s">
        <v>147</v>
      </c>
      <c r="D16" s="85"/>
      <c r="E16" s="85"/>
      <c r="F16" s="85"/>
      <c r="G16" s="85"/>
      <c r="H16" s="85"/>
      <c r="I16" s="85"/>
      <c r="J16" s="86">
        <f>MEDIAN(J8:J13)</f>
        <v>2.6127843159490061</v>
      </c>
      <c r="K16" s="86">
        <f>MEDIAN(K8:K13)</f>
        <v>9.5250000000000004</v>
      </c>
      <c r="L16" s="86">
        <f>MEDIAN(L8:L13)</f>
        <v>6.6899999999999995</v>
      </c>
    </row>
    <row r="18" spans="3:9" x14ac:dyDescent="0.25">
      <c r="C18" s="55" t="s">
        <v>134</v>
      </c>
      <c r="D18" s="78" t="str">
        <f>J7</f>
        <v>EV/Sales</v>
      </c>
      <c r="E18" s="78" t="s">
        <v>130</v>
      </c>
      <c r="H18" s="160" t="s">
        <v>184</v>
      </c>
      <c r="I18" s="160"/>
    </row>
    <row r="19" spans="3:9" x14ac:dyDescent="0.25">
      <c r="C19" s="79" t="s">
        <v>147</v>
      </c>
      <c r="D19" s="80">
        <f>J16</f>
        <v>2.6127843159490061</v>
      </c>
      <c r="E19" s="80">
        <f t="shared" ref="E19" si="1">K16</f>
        <v>9.5250000000000004</v>
      </c>
      <c r="H19" s="78" t="s">
        <v>183</v>
      </c>
      <c r="I19" s="78" t="s">
        <v>121</v>
      </c>
    </row>
    <row r="20" spans="3:9" x14ac:dyDescent="0.25">
      <c r="C20" s="79" t="s">
        <v>148</v>
      </c>
      <c r="D20" s="80">
        <f>J15</f>
        <v>3.0986616574791301</v>
      </c>
      <c r="E20" s="80">
        <f t="shared" ref="E20" si="2">K15</f>
        <v>12.681666666666667</v>
      </c>
      <c r="H20" s="104">
        <f>'P&amp;L'!G7</f>
        <v>4192.55</v>
      </c>
      <c r="I20" s="104">
        <f>'P&amp;L'!G15</f>
        <v>1490.4100000000003</v>
      </c>
    </row>
    <row r="22" spans="3:9" x14ac:dyDescent="0.25">
      <c r="C22" s="151" t="s">
        <v>182</v>
      </c>
      <c r="D22" s="151"/>
      <c r="E22" s="151"/>
    </row>
    <row r="23" spans="3:9" x14ac:dyDescent="0.25">
      <c r="C23" s="79" t="s">
        <v>149</v>
      </c>
      <c r="D23" s="80">
        <f>D20</f>
        <v>3.0986616574791301</v>
      </c>
      <c r="E23" s="80">
        <f t="shared" ref="E23" si="3">E20</f>
        <v>12.681666666666667</v>
      </c>
    </row>
    <row r="24" spans="3:9" x14ac:dyDescent="0.25">
      <c r="C24" s="79" t="s">
        <v>150</v>
      </c>
      <c r="D24" s="80">
        <f>AVERAGE(D23,D25)</f>
        <v>2.8557229867140679</v>
      </c>
      <c r="E24" s="80">
        <f t="shared" ref="E24" si="4">AVERAGE(E23,E25)</f>
        <v>11.103333333333333</v>
      </c>
    </row>
    <row r="25" spans="3:9" x14ac:dyDescent="0.25">
      <c r="C25" s="79" t="s">
        <v>151</v>
      </c>
      <c r="D25" s="80">
        <f>D19</f>
        <v>2.6127843159490061</v>
      </c>
      <c r="E25" s="80">
        <f t="shared" ref="E25" si="5">E19</f>
        <v>9.5250000000000004</v>
      </c>
    </row>
    <row r="28" spans="3:9" x14ac:dyDescent="0.25">
      <c r="C28" s="81" t="s">
        <v>152</v>
      </c>
      <c r="D28" s="82" t="s">
        <v>153</v>
      </c>
      <c r="E28" s="82" t="s">
        <v>153</v>
      </c>
    </row>
    <row r="29" spans="3:9" x14ac:dyDescent="0.25">
      <c r="C29" s="83" t="s">
        <v>149</v>
      </c>
      <c r="D29" s="100">
        <f>D23*$H$20</f>
        <v>12991.293932064127</v>
      </c>
      <c r="E29" s="100">
        <f>E23*I$20</f>
        <v>18900.882816666672</v>
      </c>
    </row>
    <row r="30" spans="3:9" x14ac:dyDescent="0.25">
      <c r="C30" s="84" t="s">
        <v>150</v>
      </c>
      <c r="D30" s="100">
        <f>D24*$H$20</f>
        <v>11972.761407948066</v>
      </c>
      <c r="E30" s="100">
        <f>E24*I$20</f>
        <v>16548.519033333338</v>
      </c>
      <c r="H30" s="102"/>
    </row>
    <row r="31" spans="3:9" x14ac:dyDescent="0.25">
      <c r="C31" s="83" t="s">
        <v>151</v>
      </c>
      <c r="D31" s="100">
        <f>D25*$H$20</f>
        <v>10954.228883832006</v>
      </c>
      <c r="E31" s="100">
        <f>E25*I$20</f>
        <v>14196.155250000003</v>
      </c>
    </row>
    <row r="32" spans="3:9" x14ac:dyDescent="0.25">
      <c r="C32" t="s">
        <v>181</v>
      </c>
      <c r="E32" s="100">
        <f>AVERAGE(D30:E30)</f>
        <v>14260.640220640702</v>
      </c>
    </row>
    <row r="36" spans="3:6" x14ac:dyDescent="0.25">
      <c r="C36" s="32" t="s">
        <v>179</v>
      </c>
      <c r="D36" s="101">
        <v>0.2</v>
      </c>
      <c r="E36" s="101">
        <v>0.25</v>
      </c>
      <c r="F36" s="101">
        <v>0.3</v>
      </c>
    </row>
    <row r="37" spans="3:6" x14ac:dyDescent="0.25">
      <c r="C37" s="32" t="s">
        <v>180</v>
      </c>
      <c r="D37" s="100">
        <f>$E$30*(1-D36)</f>
        <v>13238.815226666671</v>
      </c>
      <c r="E37" s="100">
        <f>$E$30*(1-E36)</f>
        <v>12411.389275000003</v>
      </c>
      <c r="F37" s="100">
        <f>$E$30*(1-F36)</f>
        <v>11583.963323333335</v>
      </c>
    </row>
    <row r="38" spans="3:6" x14ac:dyDescent="0.25">
      <c r="C38" s="32" t="s">
        <v>146</v>
      </c>
      <c r="D38" s="100">
        <f>$E$32*(1-D36)</f>
        <v>11408.512176512562</v>
      </c>
      <c r="E38" s="100">
        <f>$E$32*(1-E36)</f>
        <v>10695.480165480527</v>
      </c>
      <c r="F38" s="100">
        <f>$E$32*(1-F36)</f>
        <v>9982.4481544484916</v>
      </c>
    </row>
  </sheetData>
  <mergeCells count="6">
    <mergeCell ref="C22:E22"/>
    <mergeCell ref="D6:F6"/>
    <mergeCell ref="H6:I6"/>
    <mergeCell ref="J6:L6"/>
    <mergeCell ref="B4:C4"/>
    <mergeCell ref="H18:I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W33"/>
  <sheetViews>
    <sheetView showGridLines="0" topLeftCell="C1" workbookViewId="0">
      <selection activeCell="O7" sqref="O7:O15"/>
    </sheetView>
  </sheetViews>
  <sheetFormatPr defaultRowHeight="15" x14ac:dyDescent="0.25"/>
  <cols>
    <col min="1" max="1" width="5.42578125" customWidth="1"/>
    <col min="2" max="2" width="69.140625" customWidth="1"/>
    <col min="3" max="7" width="9.28515625" bestFit="1" customWidth="1"/>
    <col min="8" max="8" width="5.28515625" customWidth="1"/>
    <col min="9" max="9" width="30.140625" customWidth="1"/>
  </cols>
  <sheetData>
    <row r="1" spans="1:14" x14ac:dyDescent="0.25">
      <c r="A1" s="2"/>
      <c r="B1" s="2"/>
      <c r="C1" s="2"/>
      <c r="D1" s="2"/>
      <c r="E1" s="2"/>
      <c r="F1" s="2"/>
      <c r="G1" s="2"/>
    </row>
    <row r="2" spans="1:14" x14ac:dyDescent="0.25">
      <c r="A2" s="2"/>
      <c r="B2" s="1" t="s">
        <v>99</v>
      </c>
      <c r="C2" s="1"/>
      <c r="D2" s="1"/>
      <c r="E2" s="1"/>
      <c r="F2" s="1"/>
      <c r="G2" s="1"/>
    </row>
    <row r="3" spans="1:14" x14ac:dyDescent="0.25">
      <c r="A3" s="2"/>
      <c r="B3" s="2"/>
      <c r="C3" s="2"/>
      <c r="D3" s="2"/>
      <c r="E3" s="2"/>
      <c r="F3" s="2"/>
      <c r="G3" s="2"/>
    </row>
    <row r="4" spans="1:14" x14ac:dyDescent="0.25">
      <c r="A4" s="2"/>
      <c r="B4" s="149" t="s">
        <v>107</v>
      </c>
      <c r="C4" s="149"/>
      <c r="D4" s="149"/>
      <c r="E4" s="149"/>
      <c r="F4" s="149"/>
      <c r="G4" s="149"/>
    </row>
    <row r="5" spans="1:14" x14ac:dyDescent="0.25">
      <c r="A5" s="2"/>
      <c r="B5" s="2"/>
      <c r="C5" s="2"/>
      <c r="D5" s="2"/>
      <c r="E5" s="2"/>
      <c r="F5" s="2"/>
      <c r="G5" s="2"/>
    </row>
    <row r="6" spans="1:14" x14ac:dyDescent="0.25">
      <c r="B6" s="3" t="s">
        <v>41</v>
      </c>
      <c r="C6" s="51">
        <v>2018</v>
      </c>
      <c r="D6" s="51">
        <f>C6+1</f>
        <v>2019</v>
      </c>
      <c r="E6" s="51">
        <f t="shared" ref="E6:G6" si="0">D6+1</f>
        <v>2020</v>
      </c>
      <c r="F6" s="51">
        <f t="shared" si="0"/>
        <v>2021</v>
      </c>
      <c r="G6" s="52">
        <f t="shared" si="0"/>
        <v>2022</v>
      </c>
    </row>
    <row r="7" spans="1:14" x14ac:dyDescent="0.25">
      <c r="B7" s="15" t="s">
        <v>123</v>
      </c>
      <c r="C7" s="9">
        <v>2746.73</v>
      </c>
      <c r="D7" s="9">
        <v>3674.45</v>
      </c>
      <c r="E7" s="27">
        <v>4427.0600000000004</v>
      </c>
      <c r="F7" s="27">
        <v>4275.6899999999996</v>
      </c>
      <c r="G7" s="27">
        <v>4192.55</v>
      </c>
      <c r="I7" s="99"/>
    </row>
    <row r="8" spans="1:14" x14ac:dyDescent="0.25">
      <c r="B8" s="15" t="s">
        <v>124</v>
      </c>
      <c r="C8" s="9">
        <v>58.33</v>
      </c>
      <c r="D8" s="9">
        <v>226.46</v>
      </c>
      <c r="E8" s="27">
        <v>343.65</v>
      </c>
      <c r="F8" s="27">
        <v>236.16</v>
      </c>
      <c r="G8" s="27">
        <v>79.78</v>
      </c>
    </row>
    <row r="9" spans="1:14" x14ac:dyDescent="0.25">
      <c r="B9" s="44" t="s">
        <v>125</v>
      </c>
      <c r="C9" s="14">
        <f>SUM(C7:C8)</f>
        <v>2805.06</v>
      </c>
      <c r="D9" s="14">
        <f t="shared" ref="D9:G9" si="1">SUM(D7:D8)</f>
        <v>3900.91</v>
      </c>
      <c r="E9" s="36">
        <f t="shared" si="1"/>
        <v>4770.71</v>
      </c>
      <c r="F9" s="36">
        <f t="shared" si="1"/>
        <v>4511.8499999999995</v>
      </c>
      <c r="G9" s="36">
        <f t="shared" si="1"/>
        <v>4272.33</v>
      </c>
      <c r="I9" s="124" t="s">
        <v>41</v>
      </c>
      <c r="J9" s="125">
        <v>2018</v>
      </c>
      <c r="K9" s="125">
        <f>J9+1</f>
        <v>2019</v>
      </c>
      <c r="L9" s="125">
        <f t="shared" ref="L9" si="2">K9+1</f>
        <v>2020</v>
      </c>
      <c r="M9" s="125">
        <f t="shared" ref="M9" si="3">L9+1</f>
        <v>2021</v>
      </c>
      <c r="N9" s="125">
        <f t="shared" ref="N9" si="4">M9+1</f>
        <v>2022</v>
      </c>
    </row>
    <row r="10" spans="1:14" x14ac:dyDescent="0.25">
      <c r="B10" s="16" t="s">
        <v>126</v>
      </c>
      <c r="C10" s="9"/>
      <c r="D10" s="9"/>
      <c r="E10" s="9"/>
      <c r="F10" s="9"/>
      <c r="G10" s="54"/>
      <c r="I10" s="62" t="s">
        <v>124</v>
      </c>
      <c r="J10" s="61">
        <f>C8/C7</f>
        <v>2.1236160816680196E-2</v>
      </c>
      <c r="K10" s="61">
        <f t="shared" ref="K10:N10" si="5">D8/D7</f>
        <v>6.1630992393419431E-2</v>
      </c>
      <c r="L10" s="61">
        <f t="shared" si="5"/>
        <v>7.7624879717013082E-2</v>
      </c>
      <c r="M10" s="61">
        <f t="shared" si="5"/>
        <v>5.523319043242144E-2</v>
      </c>
      <c r="N10" s="61">
        <f t="shared" si="5"/>
        <v>1.9028991902302894E-2</v>
      </c>
    </row>
    <row r="11" spans="1:14" x14ac:dyDescent="0.25">
      <c r="B11" s="50" t="s">
        <v>18</v>
      </c>
      <c r="C11" s="9">
        <v>1755.07</v>
      </c>
      <c r="D11" s="9">
        <v>1726.08</v>
      </c>
      <c r="E11" s="27">
        <v>2800.58</v>
      </c>
      <c r="F11" s="27">
        <v>2108.5300000000002</v>
      </c>
      <c r="G11" s="27">
        <v>2012.61</v>
      </c>
      <c r="I11" s="32" t="s">
        <v>128</v>
      </c>
      <c r="J11" s="61">
        <f>C11/C$7</f>
        <v>0.63896706265268155</v>
      </c>
      <c r="K11" s="61">
        <f t="shared" ref="K11:N11" si="6">D11/D$7</f>
        <v>0.46975193566384082</v>
      </c>
      <c r="L11" s="61">
        <f t="shared" si="6"/>
        <v>0.63260493420012376</v>
      </c>
      <c r="M11" s="61">
        <f t="shared" si="6"/>
        <v>0.49314379667375335</v>
      </c>
      <c r="N11" s="61">
        <f t="shared" si="6"/>
        <v>0.48004436440829562</v>
      </c>
    </row>
    <row r="12" spans="1:14" x14ac:dyDescent="0.25">
      <c r="B12" s="47" t="s">
        <v>19</v>
      </c>
      <c r="C12" s="9">
        <v>55.92</v>
      </c>
      <c r="D12" s="9">
        <v>77.819999999999993</v>
      </c>
      <c r="E12" s="27">
        <v>65.42</v>
      </c>
      <c r="F12" s="27">
        <v>76.28</v>
      </c>
      <c r="G12" s="27">
        <v>79.650000000000006</v>
      </c>
      <c r="I12" s="62" t="s">
        <v>19</v>
      </c>
      <c r="J12" s="61">
        <f t="shared" ref="J12:J13" si="7">C12/C$7</f>
        <v>2.0358753863685183E-2</v>
      </c>
      <c r="K12" s="61">
        <f t="shared" ref="K12:K13" si="8">D12/D$7</f>
        <v>2.1178679802419408E-2</v>
      </c>
      <c r="L12" s="61">
        <f t="shared" ref="L12:L13" si="9">E12/E$7</f>
        <v>1.4777301414482748E-2</v>
      </c>
      <c r="M12" s="61">
        <f t="shared" ref="M12:M13" si="10">F12/F$7</f>
        <v>1.7840395351393579E-2</v>
      </c>
      <c r="N12" s="61">
        <f t="shared" ref="N12:N13" si="11">G12/G$7</f>
        <v>1.8997984520160761E-2</v>
      </c>
    </row>
    <row r="13" spans="1:14" x14ac:dyDescent="0.25">
      <c r="B13" s="50" t="s">
        <v>21</v>
      </c>
      <c r="C13" s="9">
        <v>363.69</v>
      </c>
      <c r="D13" s="9">
        <v>1877.84</v>
      </c>
      <c r="E13" s="27">
        <v>1516.57</v>
      </c>
      <c r="F13" s="27">
        <v>1358.41</v>
      </c>
      <c r="G13" s="27">
        <v>689.66</v>
      </c>
      <c r="I13" s="62" t="s">
        <v>21</v>
      </c>
      <c r="J13" s="61">
        <f t="shared" si="7"/>
        <v>0.13240835466172504</v>
      </c>
      <c r="K13" s="61">
        <f t="shared" si="8"/>
        <v>0.51105335492386617</v>
      </c>
      <c r="L13" s="61">
        <f t="shared" si="9"/>
        <v>0.34256820553595385</v>
      </c>
      <c r="M13" s="61">
        <f t="shared" si="10"/>
        <v>0.31770544637239845</v>
      </c>
      <c r="N13" s="61">
        <f t="shared" si="11"/>
        <v>0.16449654744725761</v>
      </c>
    </row>
    <row r="14" spans="1:14" ht="30" x14ac:dyDescent="0.25">
      <c r="B14" s="44" t="s">
        <v>23</v>
      </c>
      <c r="C14" s="14">
        <f>SUM(C11:C13)</f>
        <v>2174.6799999999998</v>
      </c>
      <c r="D14" s="14">
        <f t="shared" ref="D14:G14" si="12">SUM(D11:D13)</f>
        <v>3681.74</v>
      </c>
      <c r="E14" s="14">
        <f t="shared" si="12"/>
        <v>4382.57</v>
      </c>
      <c r="F14" s="14">
        <f t="shared" si="12"/>
        <v>3543.2200000000003</v>
      </c>
      <c r="G14" s="53">
        <f t="shared" si="12"/>
        <v>2781.9199999999996</v>
      </c>
      <c r="I14" s="62" t="s">
        <v>22</v>
      </c>
      <c r="J14" s="61">
        <f>C16/C9</f>
        <v>0.18495861051100512</v>
      </c>
      <c r="K14" s="61">
        <f>D16/D9</f>
        <v>0.17890953649276706</v>
      </c>
      <c r="L14" s="61">
        <f>E16/E9</f>
        <v>0.14572464056712733</v>
      </c>
      <c r="M14" s="61">
        <f>F16/F9</f>
        <v>0.15058346354599556</v>
      </c>
      <c r="N14" s="61">
        <f>G16/G9</f>
        <v>0.15738016492171719</v>
      </c>
    </row>
    <row r="15" spans="1:14" x14ac:dyDescent="0.25">
      <c r="B15" s="44" t="s">
        <v>121</v>
      </c>
      <c r="C15" s="14">
        <f>C9-C14</f>
        <v>630.38000000000011</v>
      </c>
      <c r="D15" s="14">
        <f>D9-D14</f>
        <v>219.17000000000007</v>
      </c>
      <c r="E15" s="14">
        <f>E9-E14</f>
        <v>388.14000000000033</v>
      </c>
      <c r="F15" s="14">
        <f>F9-F14</f>
        <v>968.6299999999992</v>
      </c>
      <c r="G15" s="53">
        <f>G9-G14</f>
        <v>1490.4100000000003</v>
      </c>
      <c r="I15" s="62" t="s">
        <v>20</v>
      </c>
      <c r="J15" s="32"/>
      <c r="K15" s="63">
        <f>D18/D7</f>
        <v>2.0895644246077646E-2</v>
      </c>
      <c r="L15" s="63">
        <f>E18/E7</f>
        <v>1.241681838511337E-2</v>
      </c>
      <c r="M15" s="63">
        <f>F18/F7</f>
        <v>8.4921965811366133E-3</v>
      </c>
      <c r="N15" s="63">
        <f>G18/G7</f>
        <v>9.2879035431897052E-3</v>
      </c>
    </row>
    <row r="16" spans="1:14" x14ac:dyDescent="0.25">
      <c r="B16" s="64" t="s">
        <v>22</v>
      </c>
      <c r="C16" s="9">
        <v>518.82000000000005</v>
      </c>
      <c r="D16" s="9">
        <v>697.91</v>
      </c>
      <c r="E16" s="27">
        <v>695.21</v>
      </c>
      <c r="F16" s="27">
        <v>679.41</v>
      </c>
      <c r="G16" s="27">
        <v>672.38</v>
      </c>
      <c r="I16" s="62" t="s">
        <v>207</v>
      </c>
      <c r="J16" s="104">
        <f>C13</f>
        <v>363.69</v>
      </c>
      <c r="K16" s="104">
        <f>D13</f>
        <v>1877.84</v>
      </c>
      <c r="L16" s="104">
        <f>E13</f>
        <v>1516.57</v>
      </c>
      <c r="M16" s="104">
        <f>F13</f>
        <v>1358.41</v>
      </c>
      <c r="N16" s="104">
        <f>G13</f>
        <v>689.66</v>
      </c>
    </row>
    <row r="17" spans="2:23" x14ac:dyDescent="0.25">
      <c r="B17" s="44" t="s">
        <v>122</v>
      </c>
      <c r="C17" s="14">
        <f>C15-C16</f>
        <v>111.56000000000006</v>
      </c>
      <c r="D17" s="14">
        <f t="shared" ref="D17:G17" si="13">D15-D16</f>
        <v>-478.7399999999999</v>
      </c>
      <c r="E17" s="14">
        <f t="shared" si="13"/>
        <v>-307.06999999999971</v>
      </c>
      <c r="F17" s="14">
        <f t="shared" si="13"/>
        <v>289.21999999999923</v>
      </c>
      <c r="G17" s="53">
        <f t="shared" si="13"/>
        <v>818.03000000000031</v>
      </c>
      <c r="I17" s="62" t="s">
        <v>206</v>
      </c>
      <c r="J17" s="32"/>
      <c r="K17" s="32"/>
      <c r="L17" s="95">
        <v>931.59</v>
      </c>
      <c r="M17" s="98">
        <v>798.27</v>
      </c>
      <c r="N17" s="95">
        <v>0</v>
      </c>
    </row>
    <row r="18" spans="2:23" x14ac:dyDescent="0.25">
      <c r="B18" s="15" t="s">
        <v>20</v>
      </c>
      <c r="C18" s="9">
        <v>1851.45</v>
      </c>
      <c r="D18" s="9">
        <v>76.78</v>
      </c>
      <c r="E18" s="27">
        <v>54.97</v>
      </c>
      <c r="F18" s="27">
        <v>36.31</v>
      </c>
      <c r="G18" s="27">
        <v>38.94</v>
      </c>
      <c r="I18" s="62" t="s">
        <v>205</v>
      </c>
      <c r="J18" s="104">
        <f>J16-J17</f>
        <v>363.69</v>
      </c>
      <c r="K18" s="104">
        <f t="shared" ref="K18:N18" si="14">K16-K17</f>
        <v>1877.84</v>
      </c>
      <c r="L18" s="104">
        <f t="shared" si="14"/>
        <v>584.9799999999999</v>
      </c>
      <c r="M18" s="104">
        <f t="shared" si="14"/>
        <v>560.1400000000001</v>
      </c>
      <c r="N18" s="104">
        <f t="shared" si="14"/>
        <v>689.66</v>
      </c>
    </row>
    <row r="19" spans="2:23" ht="18" customHeight="1" x14ac:dyDescent="0.25">
      <c r="B19" s="44" t="s">
        <v>66</v>
      </c>
      <c r="C19" s="14">
        <f>C17-C18</f>
        <v>-1739.8899999999999</v>
      </c>
      <c r="D19" s="14">
        <f>D17-D18</f>
        <v>-555.51999999999987</v>
      </c>
      <c r="E19" s="14">
        <f>E17-E18</f>
        <v>-362.03999999999974</v>
      </c>
      <c r="F19" s="14">
        <f>F17-F18</f>
        <v>252.90999999999923</v>
      </c>
      <c r="G19" s="53">
        <f>G17-G18</f>
        <v>779.09000000000037</v>
      </c>
      <c r="I19" s="62" t="s">
        <v>204</v>
      </c>
      <c r="J19" s="63">
        <f>J18/C7</f>
        <v>0.13240835466172504</v>
      </c>
      <c r="K19" s="63">
        <f>K18/D7</f>
        <v>0.51105335492386617</v>
      </c>
      <c r="L19" s="63">
        <f>L18/E7</f>
        <v>0.13213735526511949</v>
      </c>
      <c r="M19" s="63">
        <f>M18/F7</f>
        <v>0.13100575579614054</v>
      </c>
      <c r="N19" s="63">
        <f>N18/G7</f>
        <v>0.16449654744725761</v>
      </c>
    </row>
    <row r="20" spans="2:23" ht="17.25" customHeight="1" x14ac:dyDescent="0.25">
      <c r="B20" s="16" t="s">
        <v>127</v>
      </c>
      <c r="C20" s="9"/>
      <c r="D20" s="9"/>
      <c r="E20" s="27"/>
      <c r="F20" s="27"/>
      <c r="G20" s="27"/>
    </row>
    <row r="21" spans="2:23" x14ac:dyDescent="0.25">
      <c r="B21" s="15" t="s">
        <v>42</v>
      </c>
      <c r="C21" s="9">
        <v>-178.74</v>
      </c>
      <c r="D21" s="9">
        <v>153.97</v>
      </c>
      <c r="E21" s="27">
        <v>162.09</v>
      </c>
      <c r="F21" s="27">
        <v>166.96</v>
      </c>
      <c r="G21" s="27">
        <v>447.67</v>
      </c>
      <c r="O21" s="93"/>
      <c r="P21" s="93"/>
      <c r="Q21" s="93"/>
      <c r="R21" s="93"/>
      <c r="S21" s="93"/>
      <c r="T21" s="93"/>
      <c r="U21" s="93"/>
      <c r="V21" s="93"/>
      <c r="W21" s="93"/>
    </row>
    <row r="22" spans="2:23" x14ac:dyDescent="0.25">
      <c r="B22" s="44" t="s">
        <v>24</v>
      </c>
      <c r="C22" s="14">
        <f>SUM(C21)</f>
        <v>-178.74</v>
      </c>
      <c r="D22" s="14">
        <f t="shared" ref="D22:G22" si="15">SUM(D21)</f>
        <v>153.97</v>
      </c>
      <c r="E22" s="36">
        <f t="shared" si="15"/>
        <v>162.09</v>
      </c>
      <c r="F22" s="36">
        <f t="shared" si="15"/>
        <v>166.96</v>
      </c>
      <c r="G22" s="36">
        <f t="shared" si="15"/>
        <v>447.67</v>
      </c>
      <c r="O22" s="93"/>
      <c r="P22" s="93"/>
      <c r="Q22" s="93"/>
    </row>
    <row r="23" spans="2:23" x14ac:dyDescent="0.25">
      <c r="B23" s="44" t="s">
        <v>43</v>
      </c>
      <c r="C23" s="14">
        <f>C19-C22</f>
        <v>-1561.1499999999999</v>
      </c>
      <c r="D23" s="14">
        <f>D19-D22</f>
        <v>-709.4899999999999</v>
      </c>
      <c r="E23" s="36">
        <f>E19-E22</f>
        <v>-524.12999999999977</v>
      </c>
      <c r="F23" s="36">
        <f>F19-F22</f>
        <v>85.949999999999221</v>
      </c>
      <c r="G23" s="36">
        <f>G19-G22</f>
        <v>331.42000000000036</v>
      </c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</row>
    <row r="24" spans="2:23" x14ac:dyDescent="0.25">
      <c r="B24" s="16" t="s">
        <v>44</v>
      </c>
      <c r="C24" s="9"/>
      <c r="D24" s="9"/>
      <c r="E24" s="27"/>
      <c r="F24" s="27"/>
      <c r="G24" s="27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</row>
    <row r="25" spans="2:23" x14ac:dyDescent="0.25">
      <c r="B25" s="50" t="s">
        <v>114</v>
      </c>
      <c r="C25" s="9">
        <v>-0.18</v>
      </c>
      <c r="D25" s="9">
        <v>-1.88</v>
      </c>
      <c r="E25" s="27">
        <v>-2.66</v>
      </c>
      <c r="F25" s="27">
        <v>-1.83</v>
      </c>
      <c r="G25" s="27">
        <v>3.08</v>
      </c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</row>
    <row r="26" spans="2:23" ht="15.75" customHeight="1" x14ac:dyDescent="0.25">
      <c r="B26" s="47" t="s">
        <v>115</v>
      </c>
      <c r="C26" s="9">
        <v>0.06</v>
      </c>
      <c r="D26" s="9">
        <v>0.66</v>
      </c>
      <c r="E26" s="27">
        <v>0.93</v>
      </c>
      <c r="F26" s="27">
        <v>0.64</v>
      </c>
      <c r="G26" s="27">
        <v>-0.77</v>
      </c>
    </row>
    <row r="27" spans="2:23" x14ac:dyDescent="0.25">
      <c r="B27" s="7"/>
      <c r="C27" s="12">
        <f>SUM(C25:C26)</f>
        <v>-0.12</v>
      </c>
      <c r="D27" s="12">
        <f t="shared" ref="D27:G27" si="16">SUM(D25:D26)</f>
        <v>-1.2199999999999998</v>
      </c>
      <c r="E27" s="28">
        <f t="shared" si="16"/>
        <v>-1.73</v>
      </c>
      <c r="F27" s="28">
        <f t="shared" si="16"/>
        <v>-1.19</v>
      </c>
      <c r="G27" s="28">
        <f t="shared" si="16"/>
        <v>2.31</v>
      </c>
    </row>
    <row r="28" spans="2:23" x14ac:dyDescent="0.25">
      <c r="B28" s="44" t="s">
        <v>116</v>
      </c>
      <c r="C28" s="14">
        <f>C23+C27</f>
        <v>-1561.2699999999998</v>
      </c>
      <c r="D28" s="14">
        <f>D23+D27</f>
        <v>-710.70999999999992</v>
      </c>
      <c r="E28" s="36">
        <f>E23+E27</f>
        <v>-525.85999999999979</v>
      </c>
      <c r="F28" s="36">
        <f>F23+F27</f>
        <v>84.759999999999224</v>
      </c>
      <c r="G28" s="36">
        <f>G23+G27</f>
        <v>333.73000000000036</v>
      </c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</row>
    <row r="29" spans="2:23" ht="9" customHeight="1" x14ac:dyDescent="0.25"/>
    <row r="30" spans="2:23" x14ac:dyDescent="0.25">
      <c r="B30" s="32" t="s">
        <v>117</v>
      </c>
      <c r="C30" s="65">
        <f>C15/C7</f>
        <v>0.22950198963858848</v>
      </c>
      <c r="D30" s="65">
        <f>D15/D7</f>
        <v>5.9647022003293033E-2</v>
      </c>
      <c r="E30" s="65">
        <f>E15/E7</f>
        <v>8.7674438566452739E-2</v>
      </c>
      <c r="F30" s="65">
        <f>F15/F7</f>
        <v>0.22654355203487608</v>
      </c>
      <c r="G30" s="65">
        <f>G15/G7</f>
        <v>0.35549009552658889</v>
      </c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</row>
    <row r="31" spans="2:23" x14ac:dyDescent="0.25">
      <c r="B31" s="32" t="s">
        <v>118</v>
      </c>
      <c r="C31" s="65">
        <f>C17/C7</f>
        <v>4.0615568330341918E-2</v>
      </c>
      <c r="D31" s="65">
        <f>D17/D7</f>
        <v>-0.13028888677216996</v>
      </c>
      <c r="E31" s="65">
        <f>E17/E7</f>
        <v>-6.9362059696502804E-2</v>
      </c>
      <c r="F31" s="65">
        <f>F17/F7</f>
        <v>6.764288337087096E-2</v>
      </c>
      <c r="G31" s="65">
        <f>G17/G7</f>
        <v>0.19511514472099326</v>
      </c>
    </row>
    <row r="32" spans="2:23" x14ac:dyDescent="0.25">
      <c r="B32" s="32" t="s">
        <v>119</v>
      </c>
      <c r="C32" s="65">
        <f>C23/C7</f>
        <v>-0.56836674882496641</v>
      </c>
      <c r="D32" s="65">
        <f>D23/D7</f>
        <v>-0.19308740083549916</v>
      </c>
      <c r="E32" s="65">
        <f>E23/E7</f>
        <v>-0.11839234164434179</v>
      </c>
      <c r="F32" s="65">
        <f>F23/F7</f>
        <v>2.010201862155564E-2</v>
      </c>
      <c r="G32" s="65">
        <f>G23/G7</f>
        <v>7.9049742996505787E-2</v>
      </c>
      <c r="L32" s="106"/>
      <c r="M32" s="106"/>
      <c r="N32" s="106"/>
      <c r="O32" s="106"/>
      <c r="P32" s="106"/>
      <c r="Q32" s="106"/>
      <c r="R32" s="99"/>
      <c r="S32" s="99"/>
      <c r="T32" s="99"/>
      <c r="U32" s="99"/>
      <c r="V32" s="99"/>
      <c r="W32" s="99"/>
    </row>
    <row r="33" spans="2:7" x14ac:dyDescent="0.25">
      <c r="B33" s="32" t="s">
        <v>120</v>
      </c>
      <c r="C33" s="32"/>
      <c r="D33" s="65">
        <f>D7/C7-1</f>
        <v>0.33775434789731773</v>
      </c>
      <c r="E33" s="65">
        <f>E7/D7-1</f>
        <v>0.2048224904407463</v>
      </c>
      <c r="F33" s="65">
        <f>F7/E7-1</f>
        <v>-3.4191991976616709E-2</v>
      </c>
      <c r="G33" s="65">
        <f>G7/F7-1</f>
        <v>-1.9444814755045225E-2</v>
      </c>
    </row>
  </sheetData>
  <mergeCells count="1">
    <mergeCell ref="B4:G4"/>
  </mergeCells>
  <pageMargins left="0.7" right="0.7" top="0.75" bottom="0.75" header="0.3" footer="0.3"/>
  <ignoredErrors>
    <ignoredError sqref="C9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39997558519241921"/>
  </sheetPr>
  <dimension ref="A1:G59"/>
  <sheetViews>
    <sheetView showGridLines="0" topLeftCell="A37" workbookViewId="0">
      <selection activeCell="B38" sqref="B38"/>
    </sheetView>
  </sheetViews>
  <sheetFormatPr defaultRowHeight="15" x14ac:dyDescent="0.25"/>
  <cols>
    <col min="2" max="2" width="58.42578125" customWidth="1"/>
    <col min="3" max="3" width="12.85546875" customWidth="1"/>
    <col min="4" max="4" width="13.7109375" customWidth="1"/>
    <col min="5" max="5" width="13.42578125" customWidth="1"/>
    <col min="6" max="6" width="13.28515625" customWidth="1"/>
    <col min="7" max="7" width="12.5703125" customWidth="1"/>
  </cols>
  <sheetData>
    <row r="1" spans="1:7" x14ac:dyDescent="0.25">
      <c r="A1" s="2"/>
      <c r="B1" s="2"/>
      <c r="C1" s="2"/>
      <c r="D1" s="2"/>
      <c r="E1" s="2"/>
      <c r="F1" s="2"/>
      <c r="G1" s="2"/>
    </row>
    <row r="2" spans="1:7" x14ac:dyDescent="0.25">
      <c r="A2" s="2"/>
      <c r="B2" s="1" t="s">
        <v>99</v>
      </c>
      <c r="C2" s="1"/>
      <c r="D2" s="1"/>
      <c r="E2" s="1"/>
      <c r="F2" s="1"/>
      <c r="G2" s="1"/>
    </row>
    <row r="3" spans="1:7" ht="6.75" customHeight="1" x14ac:dyDescent="0.25">
      <c r="A3" s="2"/>
      <c r="B3" s="2"/>
      <c r="C3" s="2"/>
      <c r="D3" s="2"/>
      <c r="E3" s="2"/>
      <c r="F3" s="2"/>
      <c r="G3" s="2"/>
    </row>
    <row r="4" spans="1:7" x14ac:dyDescent="0.25">
      <c r="A4" s="2"/>
      <c r="B4" s="149" t="s">
        <v>106</v>
      </c>
      <c r="C4" s="149"/>
      <c r="D4" s="149"/>
      <c r="E4" s="149"/>
      <c r="F4" s="149"/>
      <c r="G4" s="149"/>
    </row>
    <row r="5" spans="1:7" ht="10.5" customHeight="1" x14ac:dyDescent="0.25">
      <c r="A5" s="2"/>
      <c r="B5" s="2"/>
      <c r="C5" s="2"/>
      <c r="D5" s="2"/>
      <c r="E5" s="2"/>
      <c r="F5" s="2"/>
      <c r="G5" s="2"/>
    </row>
    <row r="6" spans="1:7" ht="45" x14ac:dyDescent="0.25">
      <c r="B6" s="17" t="s">
        <v>41</v>
      </c>
      <c r="C6" s="5" t="s">
        <v>63</v>
      </c>
      <c r="D6" s="5" t="s">
        <v>64</v>
      </c>
      <c r="E6" s="5" t="s">
        <v>95</v>
      </c>
      <c r="F6" s="5" t="s">
        <v>96</v>
      </c>
      <c r="G6" s="33" t="s">
        <v>97</v>
      </c>
    </row>
    <row r="7" spans="1:7" x14ac:dyDescent="0.25">
      <c r="B7" s="18" t="s">
        <v>65</v>
      </c>
      <c r="C7" s="19"/>
      <c r="D7" s="19"/>
      <c r="E7" s="20"/>
      <c r="F7" s="21"/>
      <c r="G7" s="32"/>
    </row>
    <row r="8" spans="1:7" x14ac:dyDescent="0.25">
      <c r="B8" s="22" t="s">
        <v>66</v>
      </c>
      <c r="C8" s="9">
        <f>'P&amp;L'!C19</f>
        <v>-1739.8899999999999</v>
      </c>
      <c r="D8" s="9">
        <f>'P&amp;L'!D19</f>
        <v>-555.51999999999987</v>
      </c>
      <c r="E8" s="9">
        <f>'P&amp;L'!E19</f>
        <v>-362.03999999999974</v>
      </c>
      <c r="F8" s="9">
        <f>'P&amp;L'!F19</f>
        <v>252.90999999999923</v>
      </c>
      <c r="G8" s="27">
        <f>'P&amp;L'!G19</f>
        <v>779.09000000000037</v>
      </c>
    </row>
    <row r="9" spans="1:7" x14ac:dyDescent="0.25">
      <c r="B9" s="18" t="s">
        <v>25</v>
      </c>
      <c r="C9" s="9"/>
      <c r="D9" s="9"/>
      <c r="E9" s="9"/>
      <c r="F9" s="9"/>
      <c r="G9" s="27"/>
    </row>
    <row r="10" spans="1:7" x14ac:dyDescent="0.25">
      <c r="B10" s="22" t="s">
        <v>22</v>
      </c>
      <c r="C10" s="9">
        <f>'P&amp;L'!C16</f>
        <v>518.82000000000005</v>
      </c>
      <c r="D10" s="9">
        <f>'P&amp;L'!D16</f>
        <v>697.91</v>
      </c>
      <c r="E10" s="9">
        <f>'P&amp;L'!E16</f>
        <v>695.21</v>
      </c>
      <c r="F10" s="9">
        <f>'P&amp;L'!F16</f>
        <v>679.41</v>
      </c>
      <c r="G10" s="27">
        <f>'P&amp;L'!G16</f>
        <v>672.38</v>
      </c>
    </row>
    <row r="11" spans="1:7" x14ac:dyDescent="0.25">
      <c r="B11" s="22" t="s">
        <v>26</v>
      </c>
      <c r="C11" s="9">
        <f>'P&amp;L'!C18</f>
        <v>1851.45</v>
      </c>
      <c r="D11" s="9">
        <f>'P&amp;L'!D18</f>
        <v>76.78</v>
      </c>
      <c r="E11" s="9">
        <f>'P&amp;L'!E18</f>
        <v>54.97</v>
      </c>
      <c r="F11" s="9">
        <f>'P&amp;L'!F18</f>
        <v>36.31</v>
      </c>
      <c r="G11" s="27">
        <f>'P&amp;L'!G18</f>
        <v>38.94</v>
      </c>
    </row>
    <row r="12" spans="1:7" x14ac:dyDescent="0.25">
      <c r="B12" s="22" t="s">
        <v>67</v>
      </c>
      <c r="C12" s="9">
        <v>-0.04</v>
      </c>
      <c r="D12" s="9">
        <v>-0.1</v>
      </c>
      <c r="E12" s="42">
        <v>-0.43</v>
      </c>
      <c r="F12" s="9" t="s">
        <v>6</v>
      </c>
      <c r="G12" s="27" t="s">
        <v>6</v>
      </c>
    </row>
    <row r="13" spans="1:7" x14ac:dyDescent="0.25">
      <c r="B13" s="22" t="s">
        <v>68</v>
      </c>
      <c r="C13" s="9" t="s">
        <v>6</v>
      </c>
      <c r="D13" s="9">
        <v>-1.74</v>
      </c>
      <c r="E13" s="31" t="s">
        <v>6</v>
      </c>
      <c r="F13" s="31" t="s">
        <v>6</v>
      </c>
      <c r="G13" s="27" t="s">
        <v>6</v>
      </c>
    </row>
    <row r="14" spans="1:7" x14ac:dyDescent="0.25">
      <c r="B14" s="22" t="s">
        <v>69</v>
      </c>
      <c r="C14" s="9">
        <v>1.58</v>
      </c>
      <c r="D14" s="9">
        <v>93.9</v>
      </c>
      <c r="E14" s="43">
        <v>110.79</v>
      </c>
      <c r="F14" s="9">
        <v>-32.19</v>
      </c>
      <c r="G14" s="27">
        <v>48.72</v>
      </c>
    </row>
    <row r="15" spans="1:7" x14ac:dyDescent="0.25">
      <c r="B15" s="22" t="s">
        <v>70</v>
      </c>
      <c r="C15" s="9">
        <v>-0.33</v>
      </c>
      <c r="D15" s="9">
        <v>-0.06</v>
      </c>
      <c r="E15" s="9" t="s">
        <v>6</v>
      </c>
      <c r="F15" s="9" t="s">
        <v>6</v>
      </c>
      <c r="G15" s="27" t="s">
        <v>6</v>
      </c>
    </row>
    <row r="16" spans="1:7" x14ac:dyDescent="0.25">
      <c r="B16" s="22" t="s">
        <v>27</v>
      </c>
      <c r="C16" s="9">
        <v>-11.69</v>
      </c>
      <c r="D16" s="9">
        <v>-210.58</v>
      </c>
      <c r="E16" s="9">
        <v>-334</v>
      </c>
      <c r="F16" s="9">
        <v>-203.9</v>
      </c>
      <c r="G16" s="27">
        <v>-78.72</v>
      </c>
    </row>
    <row r="17" spans="2:7" x14ac:dyDescent="0.25">
      <c r="B17" s="22" t="s">
        <v>71</v>
      </c>
      <c r="C17" s="9">
        <v>-7.57</v>
      </c>
      <c r="D17" s="9">
        <v>-8.56</v>
      </c>
      <c r="E17" s="9">
        <v>-8.56</v>
      </c>
      <c r="F17" s="27" t="s">
        <v>6</v>
      </c>
      <c r="G17" s="27" t="s">
        <v>6</v>
      </c>
    </row>
    <row r="18" spans="2:7" x14ac:dyDescent="0.25">
      <c r="B18" s="22" t="s">
        <v>72</v>
      </c>
      <c r="C18" s="9" t="s">
        <v>6</v>
      </c>
      <c r="D18" s="9">
        <v>1072.1199999999999</v>
      </c>
      <c r="E18" s="9">
        <v>931.59</v>
      </c>
      <c r="F18" s="9">
        <v>798.12</v>
      </c>
      <c r="G18" s="27" t="s">
        <v>6</v>
      </c>
    </row>
    <row r="19" spans="2:7" x14ac:dyDescent="0.25">
      <c r="B19" s="22" t="s">
        <v>73</v>
      </c>
      <c r="C19" s="9" t="s">
        <v>6</v>
      </c>
      <c r="D19" s="9" t="s">
        <v>6</v>
      </c>
      <c r="E19" s="9" t="s">
        <v>6</v>
      </c>
      <c r="F19" s="9" t="s">
        <v>6</v>
      </c>
      <c r="G19" s="27" t="s">
        <v>6</v>
      </c>
    </row>
    <row r="20" spans="2:7" x14ac:dyDescent="0.25">
      <c r="B20" s="22" t="s">
        <v>74</v>
      </c>
      <c r="C20" s="9" t="s">
        <v>6</v>
      </c>
      <c r="D20" s="9" t="s">
        <v>6</v>
      </c>
      <c r="E20" s="9" t="s">
        <v>6</v>
      </c>
      <c r="F20" s="9" t="s">
        <v>6</v>
      </c>
      <c r="G20" s="27" t="s">
        <v>6</v>
      </c>
    </row>
    <row r="21" spans="2:7" x14ac:dyDescent="0.25">
      <c r="B21" s="22" t="s">
        <v>28</v>
      </c>
      <c r="C21" s="9">
        <v>-0.18</v>
      </c>
      <c r="D21" s="9">
        <v>-0.04</v>
      </c>
      <c r="E21" s="9">
        <v>-2.66</v>
      </c>
      <c r="F21" s="9">
        <v>-1.83</v>
      </c>
      <c r="G21" s="27">
        <v>3.08</v>
      </c>
    </row>
    <row r="22" spans="2:7" x14ac:dyDescent="0.25">
      <c r="B22" s="18" t="s">
        <v>75</v>
      </c>
      <c r="C22" s="12">
        <f>SUM(C8:C21)</f>
        <v>612.15000000000032</v>
      </c>
      <c r="D22" s="12">
        <f t="shared" ref="D22:G22" si="0">SUM(D8:D21)</f>
        <v>1164.1100000000001</v>
      </c>
      <c r="E22" s="12">
        <f t="shared" si="0"/>
        <v>1084.8700000000003</v>
      </c>
      <c r="F22" s="12">
        <f t="shared" si="0"/>
        <v>1528.8299999999992</v>
      </c>
      <c r="G22" s="28">
        <f t="shared" si="0"/>
        <v>1463.4900000000002</v>
      </c>
    </row>
    <row r="23" spans="2:7" x14ac:dyDescent="0.25">
      <c r="B23" s="23"/>
      <c r="C23" s="24"/>
      <c r="D23" s="24"/>
      <c r="E23" s="9"/>
      <c r="F23" s="9"/>
      <c r="G23" s="27"/>
    </row>
    <row r="24" spans="2:7" x14ac:dyDescent="0.25">
      <c r="B24" s="18" t="s">
        <v>29</v>
      </c>
      <c r="C24" s="24"/>
      <c r="D24" s="24"/>
      <c r="E24" s="9"/>
      <c r="F24" s="9"/>
      <c r="G24" s="27"/>
    </row>
    <row r="25" spans="2:7" x14ac:dyDescent="0.25">
      <c r="B25" s="22" t="s">
        <v>30</v>
      </c>
      <c r="C25" s="9">
        <v>-188.17</v>
      </c>
      <c r="D25" s="9">
        <v>-245.83</v>
      </c>
      <c r="E25" s="9">
        <v>-93.55</v>
      </c>
      <c r="F25" s="9">
        <v>-98.47</v>
      </c>
      <c r="G25" s="27">
        <v>-38.020000000000003</v>
      </c>
    </row>
    <row r="26" spans="2:7" x14ac:dyDescent="0.25">
      <c r="B26" s="22" t="s">
        <v>76</v>
      </c>
      <c r="C26" s="9" t="s">
        <v>6</v>
      </c>
      <c r="D26" s="9" t="s">
        <v>6</v>
      </c>
      <c r="E26" s="9" t="s">
        <v>6</v>
      </c>
      <c r="F26" s="9" t="s">
        <v>6</v>
      </c>
      <c r="G26" s="27" t="s">
        <v>6</v>
      </c>
    </row>
    <row r="27" spans="2:7" x14ac:dyDescent="0.25">
      <c r="B27" s="22" t="s">
        <v>77</v>
      </c>
      <c r="C27" s="9" t="s">
        <v>6</v>
      </c>
      <c r="D27" s="9" t="s">
        <v>6</v>
      </c>
      <c r="E27" s="9" t="s">
        <v>6</v>
      </c>
      <c r="F27" s="9" t="s">
        <v>6</v>
      </c>
      <c r="G27" s="27" t="s">
        <v>6</v>
      </c>
    </row>
    <row r="28" spans="2:7" x14ac:dyDescent="0.25">
      <c r="B28" s="22" t="s">
        <v>31</v>
      </c>
      <c r="C28" s="9">
        <v>-532.54999999999995</v>
      </c>
      <c r="D28" s="9">
        <v>-1507.01</v>
      </c>
      <c r="E28" s="9">
        <v>-829.71</v>
      </c>
      <c r="F28" s="9">
        <v>754.92</v>
      </c>
      <c r="G28" s="27">
        <v>-1611.89</v>
      </c>
    </row>
    <row r="29" spans="2:7" x14ac:dyDescent="0.25">
      <c r="B29" s="22" t="s">
        <v>32</v>
      </c>
      <c r="C29" s="9">
        <v>-8.06</v>
      </c>
      <c r="D29" s="9">
        <v>-29.06</v>
      </c>
      <c r="E29" s="9">
        <v>-61.24</v>
      </c>
      <c r="F29" s="9">
        <v>40.619999999999997</v>
      </c>
      <c r="G29" s="27">
        <v>-9.11</v>
      </c>
    </row>
    <row r="30" spans="2:7" x14ac:dyDescent="0.25">
      <c r="B30" s="22" t="s">
        <v>78</v>
      </c>
      <c r="C30" s="9">
        <v>244.95</v>
      </c>
      <c r="D30" s="9">
        <v>-18.739999999999998</v>
      </c>
      <c r="E30" s="9">
        <v>26.5</v>
      </c>
      <c r="F30" s="9">
        <v>373.54</v>
      </c>
      <c r="G30" s="27">
        <v>124.91</v>
      </c>
    </row>
    <row r="31" spans="2:7" x14ac:dyDescent="0.25">
      <c r="B31" s="22" t="s">
        <v>79</v>
      </c>
      <c r="C31" s="9" t="s">
        <v>6</v>
      </c>
      <c r="D31" s="9" t="s">
        <v>6</v>
      </c>
      <c r="E31" s="9" t="s">
        <v>6</v>
      </c>
      <c r="F31" s="9" t="s">
        <v>6</v>
      </c>
      <c r="G31" s="27" t="s">
        <v>6</v>
      </c>
    </row>
    <row r="32" spans="2:7" x14ac:dyDescent="0.25">
      <c r="B32" s="22" t="s">
        <v>80</v>
      </c>
      <c r="C32" s="9">
        <v>0.64</v>
      </c>
      <c r="D32" s="9">
        <v>183.79</v>
      </c>
      <c r="E32" s="9">
        <v>81.5</v>
      </c>
      <c r="F32" s="9">
        <v>54.99</v>
      </c>
      <c r="G32" s="27">
        <v>44.55</v>
      </c>
    </row>
    <row r="33" spans="2:7" x14ac:dyDescent="0.25">
      <c r="B33" s="25" t="s">
        <v>81</v>
      </c>
      <c r="C33" s="12">
        <f>SUM(C22:C32)</f>
        <v>128.96000000000038</v>
      </c>
      <c r="D33" s="12">
        <f t="shared" ref="D33:G33" si="1">SUM(D22:D32)</f>
        <v>-452.7399999999999</v>
      </c>
      <c r="E33" s="12">
        <f t="shared" si="1"/>
        <v>208.37000000000035</v>
      </c>
      <c r="F33" s="12">
        <f t="shared" si="1"/>
        <v>2654.4299999999989</v>
      </c>
      <c r="G33" s="28">
        <f t="shared" si="1"/>
        <v>-26.069999999999865</v>
      </c>
    </row>
    <row r="34" spans="2:7" x14ac:dyDescent="0.25">
      <c r="B34" s="22" t="s">
        <v>33</v>
      </c>
      <c r="C34" s="9">
        <v>4.26</v>
      </c>
      <c r="D34" s="9">
        <v>-2.13</v>
      </c>
      <c r="E34" s="9">
        <v>5.92</v>
      </c>
      <c r="F34" s="9">
        <v>6.74</v>
      </c>
      <c r="G34" s="27">
        <v>-11.76</v>
      </c>
    </row>
    <row r="35" spans="2:7" x14ac:dyDescent="0.25">
      <c r="B35" s="40" t="s">
        <v>34</v>
      </c>
      <c r="C35" s="14">
        <f>SUM(C33:C34)</f>
        <v>133.22000000000037</v>
      </c>
      <c r="D35" s="14">
        <f t="shared" ref="D35:G35" si="2">SUM(D33:D34)</f>
        <v>-454.86999999999989</v>
      </c>
      <c r="E35" s="14">
        <f t="shared" si="2"/>
        <v>214.29000000000033</v>
      </c>
      <c r="F35" s="14">
        <f t="shared" si="2"/>
        <v>2661.1699999999987</v>
      </c>
      <c r="G35" s="36">
        <f t="shared" si="2"/>
        <v>-37.829999999999863</v>
      </c>
    </row>
    <row r="36" spans="2:7" x14ac:dyDescent="0.25">
      <c r="B36" s="23"/>
      <c r="C36" s="9"/>
      <c r="D36" s="9"/>
      <c r="E36" s="9"/>
      <c r="F36" s="9"/>
      <c r="G36" s="27"/>
    </row>
    <row r="37" spans="2:7" x14ac:dyDescent="0.25">
      <c r="B37" s="18" t="s">
        <v>82</v>
      </c>
      <c r="C37" s="9"/>
      <c r="D37" s="9"/>
      <c r="E37" s="9"/>
      <c r="F37" s="9"/>
      <c r="G37" s="27"/>
    </row>
    <row r="38" spans="2:7" x14ac:dyDescent="0.25">
      <c r="B38" s="22" t="s">
        <v>35</v>
      </c>
      <c r="C38" s="9">
        <v>-1004.22</v>
      </c>
      <c r="D38" s="9">
        <v>-3.13</v>
      </c>
      <c r="E38" s="9">
        <v>-3.56</v>
      </c>
      <c r="F38" s="9">
        <v>-0.9</v>
      </c>
      <c r="G38" s="27">
        <v>-0.56000000000000005</v>
      </c>
    </row>
    <row r="39" spans="2:7" x14ac:dyDescent="0.25">
      <c r="B39" s="22" t="s">
        <v>83</v>
      </c>
      <c r="C39" s="9" t="s">
        <v>6</v>
      </c>
      <c r="D39" s="9" t="s">
        <v>6</v>
      </c>
      <c r="E39" s="9" t="s">
        <v>6</v>
      </c>
      <c r="F39" s="9" t="s">
        <v>6</v>
      </c>
      <c r="G39" s="27" t="s">
        <v>6</v>
      </c>
    </row>
    <row r="40" spans="2:7" x14ac:dyDescent="0.25">
      <c r="B40" s="22" t="s">
        <v>84</v>
      </c>
      <c r="C40" s="9">
        <v>1.05</v>
      </c>
      <c r="D40" s="9">
        <v>0.36</v>
      </c>
      <c r="E40" s="9" t="s">
        <v>6</v>
      </c>
      <c r="F40" s="9" t="s">
        <v>6</v>
      </c>
      <c r="G40" s="27" t="s">
        <v>6</v>
      </c>
    </row>
    <row r="41" spans="2:7" ht="30" x14ac:dyDescent="0.25">
      <c r="B41" s="22" t="s">
        <v>85</v>
      </c>
      <c r="C41" s="9">
        <v>73.89</v>
      </c>
      <c r="D41" s="9">
        <v>406.89</v>
      </c>
      <c r="E41" s="9">
        <v>0.37</v>
      </c>
      <c r="F41" s="9">
        <v>-0.39</v>
      </c>
      <c r="G41" s="27">
        <v>-25.24</v>
      </c>
    </row>
    <row r="42" spans="2:7" x14ac:dyDescent="0.25">
      <c r="B42" s="22" t="s">
        <v>36</v>
      </c>
      <c r="C42" s="9">
        <v>29.44</v>
      </c>
      <c r="D42" s="9">
        <v>122.67</v>
      </c>
      <c r="E42" s="9">
        <v>3.32</v>
      </c>
      <c r="F42" s="9">
        <v>137.83000000000001</v>
      </c>
      <c r="G42" s="27">
        <v>149.15</v>
      </c>
    </row>
    <row r="43" spans="2:7" x14ac:dyDescent="0.25">
      <c r="B43" s="22" t="s">
        <v>86</v>
      </c>
      <c r="C43" s="9">
        <v>0</v>
      </c>
      <c r="D43" s="9">
        <v>0</v>
      </c>
      <c r="E43" s="9" t="s">
        <v>6</v>
      </c>
      <c r="F43" s="9" t="s">
        <v>6</v>
      </c>
      <c r="G43" s="27" t="s">
        <v>6</v>
      </c>
    </row>
    <row r="44" spans="2:7" x14ac:dyDescent="0.25">
      <c r="B44" s="22" t="s">
        <v>87</v>
      </c>
      <c r="C44" s="9" t="s">
        <v>6</v>
      </c>
      <c r="D44" s="9">
        <v>12.88</v>
      </c>
      <c r="E44" s="9" t="s">
        <v>6</v>
      </c>
      <c r="F44" s="9" t="s">
        <v>6</v>
      </c>
      <c r="G44" s="27" t="s">
        <v>6</v>
      </c>
    </row>
    <row r="45" spans="2:7" x14ac:dyDescent="0.25">
      <c r="B45" s="40" t="s">
        <v>37</v>
      </c>
      <c r="C45" s="14">
        <f>SUM(C38:C44)</f>
        <v>-899.84</v>
      </c>
      <c r="D45" s="14">
        <f t="shared" ref="D45:G45" si="3">SUM(D38:D44)</f>
        <v>539.66999999999996</v>
      </c>
      <c r="E45" s="14">
        <f t="shared" si="3"/>
        <v>0.12999999999999989</v>
      </c>
      <c r="F45" s="14">
        <f t="shared" si="3"/>
        <v>136.54000000000002</v>
      </c>
      <c r="G45" s="36">
        <f t="shared" si="3"/>
        <v>123.35000000000001</v>
      </c>
    </row>
    <row r="46" spans="2:7" x14ac:dyDescent="0.25">
      <c r="B46" s="23"/>
      <c r="C46" s="9"/>
      <c r="D46" s="27"/>
      <c r="E46" s="9"/>
      <c r="F46" s="9"/>
      <c r="G46" s="27"/>
    </row>
    <row r="47" spans="2:7" x14ac:dyDescent="0.25">
      <c r="B47" s="18" t="s">
        <v>88</v>
      </c>
      <c r="C47" s="9"/>
      <c r="D47" s="27"/>
      <c r="E47" s="9"/>
      <c r="F47" s="9"/>
      <c r="G47" s="27"/>
    </row>
    <row r="48" spans="2:7" x14ac:dyDescent="0.25">
      <c r="B48" s="22" t="s">
        <v>89</v>
      </c>
      <c r="C48" s="9">
        <v>2616.77</v>
      </c>
      <c r="D48" s="27" t="s">
        <v>6</v>
      </c>
      <c r="E48" s="27" t="s">
        <v>6</v>
      </c>
      <c r="F48" s="39" t="s">
        <v>6</v>
      </c>
      <c r="G48" s="27" t="s">
        <v>6</v>
      </c>
    </row>
    <row r="49" spans="2:7" x14ac:dyDescent="0.25">
      <c r="B49" s="22" t="s">
        <v>90</v>
      </c>
      <c r="C49" s="9">
        <v>-81.349999999999994</v>
      </c>
      <c r="D49" s="27">
        <v>-29.14</v>
      </c>
      <c r="E49" s="27">
        <v>-79.62</v>
      </c>
      <c r="F49" s="39" t="s">
        <v>6</v>
      </c>
      <c r="G49" s="27" t="s">
        <v>6</v>
      </c>
    </row>
    <row r="50" spans="2:7" x14ac:dyDescent="0.25">
      <c r="B50" s="22" t="s">
        <v>91</v>
      </c>
      <c r="C50" s="9">
        <v>488</v>
      </c>
      <c r="D50" s="27">
        <v>3.45</v>
      </c>
      <c r="E50" s="27">
        <v>4.2</v>
      </c>
      <c r="F50" s="39" t="s">
        <v>6</v>
      </c>
      <c r="G50" s="27" t="s">
        <v>6</v>
      </c>
    </row>
    <row r="51" spans="2:7" x14ac:dyDescent="0.25">
      <c r="B51" s="22" t="s">
        <v>92</v>
      </c>
      <c r="C51" s="9">
        <v>-6.11</v>
      </c>
      <c r="D51" s="27">
        <v>2.2599999999999998</v>
      </c>
      <c r="E51" s="27">
        <v>2.81</v>
      </c>
      <c r="F51" s="39" t="s">
        <v>6</v>
      </c>
      <c r="G51" s="27" t="s">
        <v>6</v>
      </c>
    </row>
    <row r="52" spans="2:7" x14ac:dyDescent="0.25">
      <c r="B52" s="22" t="s">
        <v>38</v>
      </c>
      <c r="C52" s="9">
        <v>-2277.5</v>
      </c>
      <c r="D52" s="27">
        <v>-101.7</v>
      </c>
      <c r="E52" s="9">
        <v>-90.05</v>
      </c>
      <c r="F52" s="9">
        <v>-7.15</v>
      </c>
      <c r="G52" s="27">
        <v>-7.35</v>
      </c>
    </row>
    <row r="53" spans="2:7" x14ac:dyDescent="0.25">
      <c r="B53" s="41" t="s">
        <v>93</v>
      </c>
      <c r="C53" s="14">
        <f>SUM(C48:C52)</f>
        <v>739.81</v>
      </c>
      <c r="D53" s="14">
        <f t="shared" ref="D53:G53" si="4">SUM(D48:D52)</f>
        <v>-125.13</v>
      </c>
      <c r="E53" s="14">
        <f t="shared" si="4"/>
        <v>-162.66</v>
      </c>
      <c r="F53" s="14">
        <f t="shared" si="4"/>
        <v>-7.15</v>
      </c>
      <c r="G53" s="36">
        <f t="shared" si="4"/>
        <v>-7.35</v>
      </c>
    </row>
    <row r="54" spans="2:7" x14ac:dyDescent="0.25">
      <c r="B54" s="23"/>
      <c r="C54" s="9"/>
      <c r="D54" s="9"/>
      <c r="E54" s="9"/>
      <c r="F54" s="9"/>
      <c r="G54" s="27"/>
    </row>
    <row r="55" spans="2:7" ht="17.25" customHeight="1" x14ac:dyDescent="0.25">
      <c r="B55" s="40" t="s">
        <v>94</v>
      </c>
      <c r="C55" s="14">
        <f>C53+C45+C35</f>
        <v>-26.809999999999718</v>
      </c>
      <c r="D55" s="14">
        <f t="shared" ref="D55:G55" si="5">D53+D45+D35</f>
        <v>-40.329999999999927</v>
      </c>
      <c r="E55" s="14">
        <f t="shared" si="5"/>
        <v>51.760000000000332</v>
      </c>
      <c r="F55" s="14">
        <f t="shared" si="5"/>
        <v>2790.5599999999986</v>
      </c>
      <c r="G55" s="36">
        <f t="shared" si="5"/>
        <v>78.170000000000158</v>
      </c>
    </row>
    <row r="56" spans="2:7" x14ac:dyDescent="0.25">
      <c r="B56" s="22" t="s">
        <v>39</v>
      </c>
      <c r="C56" s="9">
        <v>97.21</v>
      </c>
      <c r="D56" s="27">
        <f>C57</f>
        <v>70.400000000000276</v>
      </c>
      <c r="E56" s="27">
        <f t="shared" ref="E56:F56" si="6">D57</f>
        <v>30.070000000000348</v>
      </c>
      <c r="F56" s="27">
        <f t="shared" si="6"/>
        <v>81.83000000000068</v>
      </c>
      <c r="G56" s="27">
        <f>F57</f>
        <v>2872.3899999999994</v>
      </c>
    </row>
    <row r="57" spans="2:7" x14ac:dyDescent="0.25">
      <c r="B57" s="40" t="s">
        <v>40</v>
      </c>
      <c r="C57" s="14">
        <f>SUM(C55:C56)</f>
        <v>70.400000000000276</v>
      </c>
      <c r="D57" s="14">
        <f t="shared" ref="D57:G57" si="7">SUM(D55:D56)</f>
        <v>30.070000000000348</v>
      </c>
      <c r="E57" s="14">
        <f t="shared" si="7"/>
        <v>81.83000000000068</v>
      </c>
      <c r="F57" s="14">
        <f t="shared" si="7"/>
        <v>2872.3899999999994</v>
      </c>
      <c r="G57" s="36">
        <f t="shared" si="7"/>
        <v>2950.5599999999995</v>
      </c>
    </row>
    <row r="58" spans="2:7" x14ac:dyDescent="0.25">
      <c r="B58" s="29"/>
      <c r="C58" s="29"/>
      <c r="D58" s="29"/>
      <c r="E58" s="21"/>
      <c r="F58" s="26"/>
    </row>
    <row r="59" spans="2:7" x14ac:dyDescent="0.25">
      <c r="B59" s="30"/>
      <c r="C59" s="30"/>
      <c r="D59" s="30"/>
      <c r="E59" s="30"/>
      <c r="F59" s="26"/>
    </row>
  </sheetData>
  <mergeCells count="1">
    <mergeCell ref="B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B2CE9-D66E-4CD8-8DC9-C0E6334C81EB}">
  <dimension ref="D8:J55"/>
  <sheetViews>
    <sheetView topLeftCell="A39" workbookViewId="0">
      <selection activeCell="M50" sqref="M50"/>
    </sheetView>
  </sheetViews>
  <sheetFormatPr defaultRowHeight="15" x14ac:dyDescent="0.25"/>
  <cols>
    <col min="5" max="5" width="29.28515625" customWidth="1"/>
    <col min="6" max="6" width="23" customWidth="1"/>
    <col min="7" max="7" width="26.5703125" customWidth="1"/>
  </cols>
  <sheetData>
    <row r="8" spans="4:7" x14ac:dyDescent="0.25">
      <c r="D8" s="82" t="s">
        <v>169</v>
      </c>
      <c r="E8" s="82" t="s">
        <v>166</v>
      </c>
      <c r="F8" s="94" t="s">
        <v>167</v>
      </c>
      <c r="G8" s="94" t="s">
        <v>168</v>
      </c>
    </row>
    <row r="9" spans="4:7" x14ac:dyDescent="0.25">
      <c r="D9" s="95">
        <v>1</v>
      </c>
      <c r="E9" s="96" t="s">
        <v>159</v>
      </c>
      <c r="F9" s="95">
        <v>279.45</v>
      </c>
      <c r="G9" s="97">
        <v>0.7742</v>
      </c>
    </row>
    <row r="10" spans="4:7" x14ac:dyDescent="0.25">
      <c r="D10" s="95">
        <v>2</v>
      </c>
      <c r="E10" s="96" t="s">
        <v>160</v>
      </c>
      <c r="F10" s="95">
        <v>35.86</v>
      </c>
      <c r="G10" s="97">
        <v>9.9400000000000002E-2</v>
      </c>
    </row>
    <row r="11" spans="4:7" x14ac:dyDescent="0.25">
      <c r="D11" s="95">
        <v>3</v>
      </c>
      <c r="E11" s="96" t="s">
        <v>163</v>
      </c>
      <c r="F11" s="98">
        <v>25</v>
      </c>
      <c r="G11" s="97">
        <v>6.93E-2</v>
      </c>
    </row>
    <row r="13" spans="4:7" x14ac:dyDescent="0.25">
      <c r="E13" t="s">
        <v>161</v>
      </c>
    </row>
    <row r="14" spans="4:7" x14ac:dyDescent="0.25">
      <c r="E14" t="s">
        <v>162</v>
      </c>
    </row>
    <row r="16" spans="4:7" x14ac:dyDescent="0.25">
      <c r="E16" t="s">
        <v>164</v>
      </c>
    </row>
    <row r="17" spans="5:10" x14ac:dyDescent="0.25">
      <c r="E17" t="s">
        <v>165</v>
      </c>
    </row>
    <row r="20" spans="5:10" x14ac:dyDescent="0.25">
      <c r="F20" s="82" t="s">
        <v>41</v>
      </c>
      <c r="G20" s="82" t="s">
        <v>177</v>
      </c>
    </row>
    <row r="21" spans="5:10" x14ac:dyDescent="0.25">
      <c r="F21" s="32" t="s">
        <v>170</v>
      </c>
      <c r="G21" s="32" t="s">
        <v>171</v>
      </c>
    </row>
    <row r="22" spans="5:10" x14ac:dyDescent="0.25">
      <c r="F22" s="32" t="s">
        <v>172</v>
      </c>
      <c r="G22" s="32" t="s">
        <v>173</v>
      </c>
    </row>
    <row r="23" spans="5:10" x14ac:dyDescent="0.25">
      <c r="F23" s="32" t="s">
        <v>174</v>
      </c>
      <c r="G23" s="32" t="s">
        <v>175</v>
      </c>
    </row>
    <row r="24" spans="5:10" x14ac:dyDescent="0.25">
      <c r="F24" s="32" t="s">
        <v>176</v>
      </c>
      <c r="G24" s="32" t="s">
        <v>178</v>
      </c>
    </row>
    <row r="27" spans="5:10" x14ac:dyDescent="0.25">
      <c r="E27" s="3" t="s">
        <v>41</v>
      </c>
      <c r="F27" s="51">
        <v>2018</v>
      </c>
      <c r="G27" s="51">
        <f>F27+1</f>
        <v>2019</v>
      </c>
      <c r="H27" s="51">
        <f t="shared" ref="H27:J27" si="0">G27+1</f>
        <v>2020</v>
      </c>
      <c r="I27" s="51">
        <f t="shared" si="0"/>
        <v>2021</v>
      </c>
      <c r="J27" s="52">
        <f t="shared" si="0"/>
        <v>2022</v>
      </c>
    </row>
    <row r="28" spans="5:10" hidden="1" x14ac:dyDescent="0.25">
      <c r="E28" s="15" t="s">
        <v>123</v>
      </c>
      <c r="F28" s="9">
        <v>2746.73</v>
      </c>
      <c r="G28" s="9">
        <v>3674.45</v>
      </c>
      <c r="H28" s="27">
        <v>4427.0600000000004</v>
      </c>
      <c r="I28" s="27">
        <v>4275.6899999999996</v>
      </c>
      <c r="J28" s="27">
        <v>4192.55</v>
      </c>
    </row>
    <row r="29" spans="5:10" hidden="1" x14ac:dyDescent="0.25">
      <c r="E29" s="15" t="s">
        <v>124</v>
      </c>
      <c r="F29" s="9">
        <v>58.33</v>
      </c>
      <c r="G29" s="9">
        <v>226.46</v>
      </c>
      <c r="H29" s="27">
        <v>343.65</v>
      </c>
      <c r="I29" s="27">
        <v>236.16</v>
      </c>
      <c r="J29" s="27">
        <v>79.78</v>
      </c>
    </row>
    <row r="30" spans="5:10" x14ac:dyDescent="0.25">
      <c r="E30" s="44" t="s">
        <v>125</v>
      </c>
      <c r="F30" s="14">
        <f>SUM(F28:F29)</f>
        <v>2805.06</v>
      </c>
      <c r="G30" s="14">
        <f t="shared" ref="G30:J30" si="1">SUM(G28:G29)</f>
        <v>3900.91</v>
      </c>
      <c r="H30" s="36">
        <f t="shared" si="1"/>
        <v>4770.71</v>
      </c>
      <c r="I30" s="36">
        <f t="shared" si="1"/>
        <v>4511.8499999999995</v>
      </c>
      <c r="J30" s="36">
        <f t="shared" si="1"/>
        <v>4272.33</v>
      </c>
    </row>
    <row r="31" spans="5:10" hidden="1" x14ac:dyDescent="0.25">
      <c r="E31" s="16" t="s">
        <v>126</v>
      </c>
      <c r="F31" s="9"/>
      <c r="G31" s="9"/>
      <c r="H31" s="9"/>
      <c r="I31" s="9"/>
      <c r="J31" s="54"/>
    </row>
    <row r="32" spans="5:10" hidden="1" x14ac:dyDescent="0.25">
      <c r="E32" s="50" t="s">
        <v>18</v>
      </c>
      <c r="F32" s="9">
        <v>1755.07</v>
      </c>
      <c r="G32" s="9">
        <v>1726.08</v>
      </c>
      <c r="H32" s="27">
        <v>2800.58</v>
      </c>
      <c r="I32" s="27">
        <v>2108.5300000000002</v>
      </c>
      <c r="J32" s="27">
        <v>2012.61</v>
      </c>
    </row>
    <row r="33" spans="5:10" hidden="1" x14ac:dyDescent="0.25">
      <c r="E33" s="47" t="s">
        <v>19</v>
      </c>
      <c r="F33" s="9">
        <v>55.92</v>
      </c>
      <c r="G33" s="9">
        <v>77.819999999999993</v>
      </c>
      <c r="H33" s="27">
        <v>65.42</v>
      </c>
      <c r="I33" s="27">
        <v>76.28</v>
      </c>
      <c r="J33" s="27">
        <v>79.650000000000006</v>
      </c>
    </row>
    <row r="34" spans="5:10" hidden="1" x14ac:dyDescent="0.25">
      <c r="E34" s="50" t="s">
        <v>21</v>
      </c>
      <c r="F34" s="9">
        <v>363.69</v>
      </c>
      <c r="G34" s="9">
        <v>1877.84</v>
      </c>
      <c r="H34" s="27">
        <v>1516.57</v>
      </c>
      <c r="I34" s="27">
        <v>1358.41</v>
      </c>
      <c r="J34" s="27">
        <v>689.66</v>
      </c>
    </row>
    <row r="35" spans="5:10" x14ac:dyDescent="0.25">
      <c r="E35" s="44" t="s">
        <v>23</v>
      </c>
      <c r="F35" s="14">
        <f>SUM(F32:F34)</f>
        <v>2174.6799999999998</v>
      </c>
      <c r="G35" s="14">
        <f t="shared" ref="G35:J35" si="2">SUM(G32:G34)</f>
        <v>3681.74</v>
      </c>
      <c r="H35" s="14">
        <f t="shared" si="2"/>
        <v>4382.57</v>
      </c>
      <c r="I35" s="14">
        <f t="shared" si="2"/>
        <v>3543.2200000000003</v>
      </c>
      <c r="J35" s="53">
        <f t="shared" si="2"/>
        <v>2781.9199999999996</v>
      </c>
    </row>
    <row r="36" spans="5:10" x14ac:dyDescent="0.25">
      <c r="E36" s="44" t="s">
        <v>121</v>
      </c>
      <c r="F36" s="14">
        <f>F30-F35</f>
        <v>630.38000000000011</v>
      </c>
      <c r="G36" s="14">
        <f>G30-G35</f>
        <v>219.17000000000007</v>
      </c>
      <c r="H36" s="14">
        <f>H30-H35</f>
        <v>388.14000000000033</v>
      </c>
      <c r="I36" s="14">
        <f>I30-I35</f>
        <v>968.6299999999992</v>
      </c>
      <c r="J36" s="53">
        <f>J30-J35</f>
        <v>1490.4100000000003</v>
      </c>
    </row>
    <row r="37" spans="5:10" ht="30" x14ac:dyDescent="0.25">
      <c r="E37" s="64" t="s">
        <v>22</v>
      </c>
      <c r="F37" s="9">
        <v>518.82000000000005</v>
      </c>
      <c r="G37" s="9">
        <v>697.91</v>
      </c>
      <c r="H37" s="27">
        <v>695.21</v>
      </c>
      <c r="I37" s="27">
        <v>679.41</v>
      </c>
      <c r="J37" s="27">
        <v>672.38</v>
      </c>
    </row>
    <row r="38" spans="5:10" x14ac:dyDescent="0.25">
      <c r="E38" s="44" t="s">
        <v>122</v>
      </c>
      <c r="F38" s="14">
        <f>F36-F37</f>
        <v>111.56000000000006</v>
      </c>
      <c r="G38" s="14">
        <f t="shared" ref="G38:J38" si="3">G36-G37</f>
        <v>-478.7399999999999</v>
      </c>
      <c r="H38" s="14">
        <f t="shared" si="3"/>
        <v>-307.06999999999971</v>
      </c>
      <c r="I38" s="14">
        <f t="shared" si="3"/>
        <v>289.21999999999923</v>
      </c>
      <c r="J38" s="53">
        <f t="shared" si="3"/>
        <v>818.03000000000031</v>
      </c>
    </row>
    <row r="39" spans="5:10" x14ac:dyDescent="0.25">
      <c r="E39" s="15" t="s">
        <v>20</v>
      </c>
      <c r="F39" s="9">
        <v>1851.45</v>
      </c>
      <c r="G39" s="9">
        <v>76.78</v>
      </c>
      <c r="H39" s="27">
        <v>54.97</v>
      </c>
      <c r="I39" s="27">
        <v>36.31</v>
      </c>
      <c r="J39" s="27">
        <v>38.94</v>
      </c>
    </row>
    <row r="40" spans="5:10" x14ac:dyDescent="0.25">
      <c r="E40" s="44" t="s">
        <v>66</v>
      </c>
      <c r="F40" s="14">
        <f>F38-F39</f>
        <v>-1739.8899999999999</v>
      </c>
      <c r="G40" s="14">
        <f>G38-G39</f>
        <v>-555.51999999999987</v>
      </c>
      <c r="H40" s="14">
        <f>H38-H39</f>
        <v>-362.03999999999974</v>
      </c>
      <c r="I40" s="14">
        <f>I38-I39</f>
        <v>252.90999999999923</v>
      </c>
      <c r="J40" s="53">
        <f>J38-J39</f>
        <v>779.09000000000037</v>
      </c>
    </row>
    <row r="41" spans="5:10" hidden="1" x14ac:dyDescent="0.25">
      <c r="E41" s="16" t="s">
        <v>127</v>
      </c>
      <c r="F41" s="9"/>
      <c r="G41" s="9"/>
      <c r="H41" s="27"/>
      <c r="I41" s="27"/>
      <c r="J41" s="27"/>
    </row>
    <row r="42" spans="5:10" x14ac:dyDescent="0.25">
      <c r="E42" s="15" t="s">
        <v>42</v>
      </c>
      <c r="F42" s="9">
        <v>-178.74</v>
      </c>
      <c r="G42" s="9">
        <v>153.97</v>
      </c>
      <c r="H42" s="27">
        <v>162.09</v>
      </c>
      <c r="I42" s="27">
        <v>166.96</v>
      </c>
      <c r="J42" s="27">
        <v>447.67</v>
      </c>
    </row>
    <row r="43" spans="5:10" x14ac:dyDescent="0.25">
      <c r="E43" s="44" t="s">
        <v>24</v>
      </c>
      <c r="F43" s="14">
        <f>SUM(F42)</f>
        <v>-178.74</v>
      </c>
      <c r="G43" s="14">
        <f t="shared" ref="G43:J43" si="4">SUM(G42)</f>
        <v>153.97</v>
      </c>
      <c r="H43" s="36">
        <f t="shared" si="4"/>
        <v>162.09</v>
      </c>
      <c r="I43" s="36">
        <f t="shared" si="4"/>
        <v>166.96</v>
      </c>
      <c r="J43" s="36">
        <f t="shared" si="4"/>
        <v>447.67</v>
      </c>
    </row>
    <row r="44" spans="5:10" x14ac:dyDescent="0.25">
      <c r="E44" s="44" t="s">
        <v>216</v>
      </c>
      <c r="F44" s="14">
        <f>F40-F43</f>
        <v>-1561.1499999999999</v>
      </c>
      <c r="G44" s="14">
        <f>G40-G43</f>
        <v>-709.4899999999999</v>
      </c>
      <c r="H44" s="36">
        <f>H40-H43</f>
        <v>-524.12999999999977</v>
      </c>
      <c r="I44" s="36">
        <f>I40-I43</f>
        <v>85.949999999999221</v>
      </c>
      <c r="J44" s="36">
        <f>J40-J43</f>
        <v>331.42000000000036</v>
      </c>
    </row>
    <row r="49" spans="5:9" ht="60" x14ac:dyDescent="0.25">
      <c r="E49" s="138" t="s">
        <v>154</v>
      </c>
      <c r="F49" s="137" t="s">
        <v>227</v>
      </c>
      <c r="G49" s="137" t="s">
        <v>226</v>
      </c>
      <c r="H49" s="137" t="s">
        <v>225</v>
      </c>
      <c r="I49" s="137" t="s">
        <v>224</v>
      </c>
    </row>
    <row r="50" spans="5:9" x14ac:dyDescent="0.25">
      <c r="E50" s="136">
        <v>1</v>
      </c>
      <c r="F50" s="135" t="s">
        <v>223</v>
      </c>
      <c r="G50" s="104">
        <v>306395479925.90002</v>
      </c>
      <c r="H50" s="104">
        <v>295015527422.88</v>
      </c>
      <c r="I50" s="104">
        <v>1833803022</v>
      </c>
    </row>
    <row r="51" spans="5:9" ht="30" x14ac:dyDescent="0.25">
      <c r="E51" s="136">
        <v>2</v>
      </c>
      <c r="F51" s="135" t="s">
        <v>222</v>
      </c>
      <c r="G51" s="104">
        <v>15950340270.719999</v>
      </c>
      <c r="H51" s="104">
        <v>1353897315</v>
      </c>
      <c r="I51" s="104" t="s">
        <v>6</v>
      </c>
    </row>
    <row r="52" spans="5:9" ht="45" x14ac:dyDescent="0.25">
      <c r="E52" s="136">
        <v>3</v>
      </c>
      <c r="F52" s="135" t="s">
        <v>221</v>
      </c>
      <c r="G52" s="104">
        <v>66073718926.449997</v>
      </c>
      <c r="H52" s="104">
        <v>27603924280.830002</v>
      </c>
      <c r="I52" s="104">
        <v>4441506079.75</v>
      </c>
    </row>
    <row r="53" spans="5:9" ht="45" x14ac:dyDescent="0.25">
      <c r="E53" s="136">
        <v>4</v>
      </c>
      <c r="F53" s="135" t="s">
        <v>220</v>
      </c>
      <c r="G53" s="104">
        <v>130921968.48</v>
      </c>
      <c r="H53" s="104">
        <v>116283804</v>
      </c>
      <c r="I53" s="104" t="s">
        <v>6</v>
      </c>
    </row>
    <row r="54" spans="5:9" ht="30" x14ac:dyDescent="0.25">
      <c r="E54" s="136">
        <v>5</v>
      </c>
      <c r="F54" s="135" t="s">
        <v>219</v>
      </c>
      <c r="G54" s="104">
        <v>17230145.109999999</v>
      </c>
      <c r="H54" s="104">
        <v>17100555.109999999</v>
      </c>
      <c r="I54" s="104" t="s">
        <v>6</v>
      </c>
    </row>
    <row r="55" spans="5:9" x14ac:dyDescent="0.25">
      <c r="E55" s="150" t="s">
        <v>218</v>
      </c>
      <c r="F55" s="150"/>
      <c r="G55" s="134">
        <f>SUM(G50:G54)</f>
        <v>388567691236.65997</v>
      </c>
      <c r="H55" s="134">
        <f>SUM(H50:H54)</f>
        <v>324106733377.82001</v>
      </c>
      <c r="I55" s="134">
        <f>SUM(I50:I54)</f>
        <v>6275309101.75</v>
      </c>
    </row>
  </sheetData>
  <mergeCells count="1">
    <mergeCell ref="E55:F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1395F-C3DA-4B11-B660-6F9BF33FD514}">
  <dimension ref="B2:G7"/>
  <sheetViews>
    <sheetView showGridLines="0" workbookViewId="0">
      <selection activeCell="J5" sqref="J5"/>
    </sheetView>
  </sheetViews>
  <sheetFormatPr defaultRowHeight="15" x14ac:dyDescent="0.25"/>
  <cols>
    <col min="2" max="2" width="21" customWidth="1"/>
  </cols>
  <sheetData>
    <row r="2" spans="2:7" x14ac:dyDescent="0.25">
      <c r="B2" s="151" t="s">
        <v>236</v>
      </c>
      <c r="C2" s="151"/>
      <c r="D2" s="151"/>
      <c r="E2" s="151"/>
      <c r="F2" s="151"/>
      <c r="G2" s="151"/>
    </row>
    <row r="3" spans="2:7" ht="9" customHeight="1" x14ac:dyDescent="0.25"/>
    <row r="4" spans="2:7" x14ac:dyDescent="0.25">
      <c r="B4" s="125" t="s">
        <v>41</v>
      </c>
      <c r="C4" s="125">
        <f>2022+1</f>
        <v>2023</v>
      </c>
      <c r="D4" s="125">
        <f t="shared" ref="D4:G4" si="0">C4+1</f>
        <v>2024</v>
      </c>
      <c r="E4" s="125">
        <f t="shared" si="0"/>
        <v>2025</v>
      </c>
      <c r="F4" s="125">
        <f t="shared" si="0"/>
        <v>2026</v>
      </c>
      <c r="G4" s="125">
        <f t="shared" si="0"/>
        <v>2027</v>
      </c>
    </row>
    <row r="5" spans="2:7" x14ac:dyDescent="0.25">
      <c r="B5" s="96" t="s">
        <v>217</v>
      </c>
      <c r="C5" s="104">
        <f>BS!N20</f>
        <v>11943.68</v>
      </c>
      <c r="D5" s="104">
        <f>C7</f>
        <v>11337.314164659541</v>
      </c>
      <c r="E5" s="104">
        <f t="shared" ref="E5:G5" si="1">D7</f>
        <v>10761.732771490017</v>
      </c>
      <c r="F5" s="104">
        <f t="shared" si="1"/>
        <v>10215.372932504433</v>
      </c>
      <c r="G5" s="104">
        <f t="shared" si="1"/>
        <v>9696.7511056024759</v>
      </c>
    </row>
    <row r="6" spans="2:7" x14ac:dyDescent="0.25">
      <c r="B6" s="96" t="s">
        <v>203</v>
      </c>
      <c r="C6" s="104">
        <f>C5*BS!$K$23</f>
        <v>606.36583534045872</v>
      </c>
      <c r="D6" s="104">
        <f>D5*BS!$K$23</f>
        <v>575.58139316952543</v>
      </c>
      <c r="E6" s="104">
        <f>E5*BS!$K$23</f>
        <v>546.35983898558345</v>
      </c>
      <c r="F6" s="104">
        <f>F5*BS!$K$23</f>
        <v>518.62182690195664</v>
      </c>
      <c r="G6" s="104">
        <f>G5*BS!$K$23</f>
        <v>492.29203932432563</v>
      </c>
    </row>
    <row r="7" spans="2:7" x14ac:dyDescent="0.25">
      <c r="B7" s="147" t="s">
        <v>202</v>
      </c>
      <c r="C7" s="148">
        <f>C5-C6</f>
        <v>11337.314164659541</v>
      </c>
      <c r="D7" s="148">
        <f t="shared" ref="D7:G7" si="2">D5-D6</f>
        <v>10761.732771490017</v>
      </c>
      <c r="E7" s="148">
        <f t="shared" si="2"/>
        <v>10215.372932504433</v>
      </c>
      <c r="F7" s="148">
        <f t="shared" si="2"/>
        <v>9696.7511056024759</v>
      </c>
      <c r="G7" s="148">
        <f t="shared" si="2"/>
        <v>9204.4590662781502</v>
      </c>
    </row>
  </sheetData>
  <mergeCells count="1"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260A2-D3D7-4956-8CB0-425C5ABB9908}">
  <sheetPr>
    <tabColor theme="7" tint="0.59999389629810485"/>
  </sheetPr>
  <dimension ref="A1:V37"/>
  <sheetViews>
    <sheetView showGridLines="0" topLeftCell="A6" workbookViewId="0">
      <selection activeCell="H29" sqref="H29:L29"/>
    </sheetView>
  </sheetViews>
  <sheetFormatPr defaultRowHeight="15" x14ac:dyDescent="0.25"/>
  <cols>
    <col min="1" max="1" width="5.42578125" customWidth="1"/>
    <col min="2" max="2" width="40.140625" customWidth="1"/>
    <col min="3" max="7" width="9.28515625" hidden="1" customWidth="1"/>
    <col min="8" max="8" width="12.140625" customWidth="1"/>
    <col min="9" max="12" width="12.5703125" bestFit="1" customWidth="1"/>
    <col min="13" max="13" width="10.42578125" customWidth="1"/>
    <col min="15" max="15" width="0" hidden="1" customWidth="1"/>
    <col min="16" max="16" width="28.140625" customWidth="1"/>
  </cols>
  <sheetData>
    <row r="1" spans="1:22" x14ac:dyDescent="0.25">
      <c r="A1" s="2"/>
      <c r="B1" s="2"/>
      <c r="C1" s="2"/>
      <c r="D1" s="2"/>
      <c r="E1" s="2"/>
      <c r="F1" s="2"/>
      <c r="G1" s="2"/>
    </row>
    <row r="2" spans="1:22" x14ac:dyDescent="0.25">
      <c r="A2" s="2"/>
      <c r="B2" s="152" t="s">
        <v>99</v>
      </c>
      <c r="C2" s="152"/>
      <c r="D2" s="152"/>
      <c r="E2" s="152"/>
      <c r="F2" s="152"/>
      <c r="G2" s="152"/>
      <c r="H2" s="152"/>
    </row>
    <row r="3" spans="1:22" x14ac:dyDescent="0.25">
      <c r="A3" s="2"/>
      <c r="B3" s="2"/>
      <c r="C3" s="2"/>
      <c r="D3" s="2"/>
      <c r="E3" s="2"/>
      <c r="F3" s="2"/>
      <c r="G3" s="2"/>
    </row>
    <row r="4" spans="1:22" x14ac:dyDescent="0.25">
      <c r="A4" s="2"/>
      <c r="B4" s="149" t="s">
        <v>107</v>
      </c>
      <c r="C4" s="149"/>
      <c r="D4" s="149"/>
      <c r="E4" s="149"/>
      <c r="F4" s="149"/>
      <c r="G4" s="149"/>
    </row>
    <row r="5" spans="1:22" x14ac:dyDescent="0.25">
      <c r="A5" s="2"/>
      <c r="B5" s="2"/>
      <c r="C5" s="2"/>
      <c r="D5" s="2"/>
      <c r="E5" s="2"/>
      <c r="F5" s="2"/>
      <c r="G5" s="2"/>
      <c r="H5" s="123">
        <v>0</v>
      </c>
      <c r="I5" s="123">
        <v>0</v>
      </c>
      <c r="J5" s="123">
        <v>2.5000000000000001E-3</v>
      </c>
      <c r="K5" s="123">
        <v>2.5000000000000001E-3</v>
      </c>
      <c r="L5" s="123">
        <v>2.5000000000000001E-3</v>
      </c>
    </row>
    <row r="6" spans="1:22" ht="18" customHeight="1" x14ac:dyDescent="0.25">
      <c r="B6" s="3" t="s">
        <v>41</v>
      </c>
      <c r="C6" s="51">
        <v>2018</v>
      </c>
      <c r="D6" s="51">
        <f>C6+1</f>
        <v>2019</v>
      </c>
      <c r="E6" s="51">
        <f t="shared" ref="E6:L6" si="0">D6+1</f>
        <v>2020</v>
      </c>
      <c r="F6" s="51">
        <f t="shared" si="0"/>
        <v>2021</v>
      </c>
      <c r="G6" s="52">
        <f t="shared" si="0"/>
        <v>2022</v>
      </c>
      <c r="H6" s="52">
        <f t="shared" si="0"/>
        <v>2023</v>
      </c>
      <c r="I6" s="52">
        <f t="shared" si="0"/>
        <v>2024</v>
      </c>
      <c r="J6" s="52">
        <f t="shared" si="0"/>
        <v>2025</v>
      </c>
      <c r="K6" s="52">
        <f t="shared" si="0"/>
        <v>2026</v>
      </c>
      <c r="L6" s="52">
        <f t="shared" si="0"/>
        <v>2027</v>
      </c>
      <c r="M6" s="52" t="s">
        <v>201</v>
      </c>
    </row>
    <row r="7" spans="1:22" x14ac:dyDescent="0.25">
      <c r="B7" s="15" t="s">
        <v>123</v>
      </c>
      <c r="C7" s="9">
        <v>2746.73</v>
      </c>
      <c r="D7" s="9">
        <v>3674.45</v>
      </c>
      <c r="E7" s="27">
        <v>4427.0600000000004</v>
      </c>
      <c r="F7" s="27">
        <v>4275.6899999999996</v>
      </c>
      <c r="G7" s="27">
        <v>4192.55</v>
      </c>
      <c r="H7" s="27">
        <f>G7*(1+H5)</f>
        <v>4192.55</v>
      </c>
      <c r="I7" s="27">
        <f t="shared" ref="I7:L7" si="1">H7*(1+I5)</f>
        <v>4192.55</v>
      </c>
      <c r="J7" s="27">
        <f t="shared" si="1"/>
        <v>4203.0313749999996</v>
      </c>
      <c r="K7" s="27">
        <f t="shared" si="1"/>
        <v>4213.538953437499</v>
      </c>
      <c r="L7" s="27">
        <f t="shared" si="1"/>
        <v>4224.0728008210926</v>
      </c>
      <c r="M7" s="27">
        <f>L7*(1+H25)</f>
        <v>4276.8737108313562</v>
      </c>
      <c r="P7" s="58" t="s">
        <v>41</v>
      </c>
      <c r="Q7" s="59">
        <v>2018</v>
      </c>
      <c r="R7" s="59">
        <f>Q7+1</f>
        <v>2019</v>
      </c>
      <c r="S7" s="59">
        <f t="shared" ref="S7:U7" si="2">R7+1</f>
        <v>2020</v>
      </c>
      <c r="T7" s="59">
        <f t="shared" si="2"/>
        <v>2021</v>
      </c>
      <c r="U7" s="60">
        <f t="shared" si="2"/>
        <v>2022</v>
      </c>
      <c r="V7" s="60" t="s">
        <v>146</v>
      </c>
    </row>
    <row r="8" spans="1:22" x14ac:dyDescent="0.25">
      <c r="B8" s="44" t="s">
        <v>125</v>
      </c>
      <c r="C8" s="14">
        <f t="shared" ref="C8:M8" si="3">SUM(C7:C7)</f>
        <v>2746.73</v>
      </c>
      <c r="D8" s="14">
        <f t="shared" si="3"/>
        <v>3674.45</v>
      </c>
      <c r="E8" s="36">
        <f t="shared" si="3"/>
        <v>4427.0600000000004</v>
      </c>
      <c r="F8" s="36">
        <f t="shared" si="3"/>
        <v>4275.6899999999996</v>
      </c>
      <c r="G8" s="36">
        <f t="shared" si="3"/>
        <v>4192.55</v>
      </c>
      <c r="H8" s="36">
        <f t="shared" si="3"/>
        <v>4192.55</v>
      </c>
      <c r="I8" s="36">
        <f t="shared" si="3"/>
        <v>4192.55</v>
      </c>
      <c r="J8" s="36">
        <f t="shared" si="3"/>
        <v>4203.0313749999996</v>
      </c>
      <c r="K8" s="36">
        <f t="shared" si="3"/>
        <v>4213.538953437499</v>
      </c>
      <c r="L8" s="36">
        <f t="shared" si="3"/>
        <v>4224.0728008210926</v>
      </c>
      <c r="M8" s="36">
        <f t="shared" si="3"/>
        <v>4276.8737108313562</v>
      </c>
      <c r="P8" s="32" t="s">
        <v>128</v>
      </c>
      <c r="Q8" s="61">
        <f>C10/C$7</f>
        <v>0.63896706265268155</v>
      </c>
      <c r="R8" s="61">
        <f t="shared" ref="R8:U9" si="4">D10/D$7</f>
        <v>0.46975193566384082</v>
      </c>
      <c r="S8" s="61">
        <f t="shared" si="4"/>
        <v>0.63260493420012376</v>
      </c>
      <c r="T8" s="61">
        <f t="shared" si="4"/>
        <v>0.49314379667375335</v>
      </c>
      <c r="U8" s="61">
        <f t="shared" si="4"/>
        <v>0.48004436440829562</v>
      </c>
      <c r="V8" s="61">
        <f>AVERAGE(Q8:U8)</f>
        <v>0.54290241871973899</v>
      </c>
    </row>
    <row r="9" spans="1:22" ht="15.75" customHeight="1" x14ac:dyDescent="0.25">
      <c r="B9" s="16" t="s">
        <v>126</v>
      </c>
      <c r="C9" s="9"/>
      <c r="D9" s="105">
        <f>D8/C8-1</f>
        <v>0.33775434789731773</v>
      </c>
      <c r="E9" s="105">
        <f t="shared" ref="E9:G9" si="5">E8/D8-1</f>
        <v>0.2048224904407463</v>
      </c>
      <c r="F9" s="105">
        <f t="shared" si="5"/>
        <v>-3.4191991976616709E-2</v>
      </c>
      <c r="G9" s="105">
        <f t="shared" si="5"/>
        <v>-1.9444814755045225E-2</v>
      </c>
      <c r="H9" s="27"/>
      <c r="I9" s="27"/>
      <c r="J9" s="27"/>
      <c r="K9" s="27"/>
      <c r="L9" s="27"/>
      <c r="M9" s="27"/>
      <c r="P9" s="62" t="s">
        <v>19</v>
      </c>
      <c r="Q9" s="61">
        <f t="shared" ref="Q9" si="6">C11/C$7</f>
        <v>2.0358753863685183E-2</v>
      </c>
      <c r="R9" s="61">
        <f t="shared" si="4"/>
        <v>2.1178679802419408E-2</v>
      </c>
      <c r="S9" s="61">
        <f t="shared" si="4"/>
        <v>1.4777301414482748E-2</v>
      </c>
      <c r="T9" s="61">
        <f t="shared" si="4"/>
        <v>1.7840395351393579E-2</v>
      </c>
      <c r="U9" s="61">
        <f t="shared" si="4"/>
        <v>1.8997984520160761E-2</v>
      </c>
      <c r="V9" s="61">
        <f t="shared" ref="V9" si="7">AVERAGE(Q9:U9)</f>
        <v>1.8630622990428333E-2</v>
      </c>
    </row>
    <row r="10" spans="1:22" ht="17.25" customHeight="1" x14ac:dyDescent="0.25">
      <c r="B10" s="50" t="s">
        <v>18</v>
      </c>
      <c r="C10" s="9">
        <v>1755.07</v>
      </c>
      <c r="D10" s="9">
        <v>1726.08</v>
      </c>
      <c r="E10" s="27">
        <v>2800.58</v>
      </c>
      <c r="F10" s="27">
        <v>2108.5300000000002</v>
      </c>
      <c r="G10" s="27">
        <v>2012.61</v>
      </c>
      <c r="H10" s="27">
        <f>H8*$V$8</f>
        <v>2276.1455356034417</v>
      </c>
      <c r="I10" s="27">
        <f t="shared" ref="I10:M10" si="8">I8*$V$8</f>
        <v>2276.1455356034417</v>
      </c>
      <c r="J10" s="27">
        <f t="shared" si="8"/>
        <v>2281.8358994424502</v>
      </c>
      <c r="K10" s="27">
        <f t="shared" si="8"/>
        <v>2287.5404891910557</v>
      </c>
      <c r="L10" s="27">
        <f t="shared" si="8"/>
        <v>2293.2593404140334</v>
      </c>
      <c r="M10" s="27">
        <f t="shared" si="8"/>
        <v>2321.925082169209</v>
      </c>
      <c r="P10" s="62" t="s">
        <v>208</v>
      </c>
      <c r="Q10" s="61">
        <f>'P&amp;L'!J19</f>
        <v>0.13240835466172504</v>
      </c>
      <c r="R10" s="61">
        <f>'P&amp;L'!K19</f>
        <v>0.51105335492386617</v>
      </c>
      <c r="S10" s="61">
        <f>'P&amp;L'!L19</f>
        <v>0.13213735526511949</v>
      </c>
      <c r="T10" s="61">
        <f>'P&amp;L'!M19</f>
        <v>0.13100575579614054</v>
      </c>
      <c r="U10" s="61">
        <f>'P&amp;L'!N19</f>
        <v>0.16449654744725761</v>
      </c>
      <c r="V10" s="61">
        <f>AVERAGE(S10:U10)</f>
        <v>0.14254655283617254</v>
      </c>
    </row>
    <row r="11" spans="1:22" ht="16.5" customHeight="1" x14ac:dyDescent="0.25">
      <c r="B11" s="47" t="s">
        <v>19</v>
      </c>
      <c r="C11" s="9">
        <v>55.92</v>
      </c>
      <c r="D11" s="9">
        <v>77.819999999999993</v>
      </c>
      <c r="E11" s="27">
        <v>65.42</v>
      </c>
      <c r="F11" s="27">
        <v>76.28</v>
      </c>
      <c r="G11" s="27">
        <v>79.650000000000006</v>
      </c>
      <c r="H11" s="27">
        <f>H8*$V$9</f>
        <v>78.109818418520305</v>
      </c>
      <c r="I11" s="27">
        <f t="shared" ref="I11:M11" si="9">I8*$V$9</f>
        <v>78.109818418520305</v>
      </c>
      <c r="J11" s="27">
        <f t="shared" si="9"/>
        <v>78.305092964566597</v>
      </c>
      <c r="K11" s="27">
        <f t="shared" si="9"/>
        <v>78.500855696978007</v>
      </c>
      <c r="L11" s="27">
        <f t="shared" si="9"/>
        <v>78.697107836220454</v>
      </c>
      <c r="M11" s="27">
        <f t="shared" si="9"/>
        <v>79.680821684173196</v>
      </c>
    </row>
    <row r="12" spans="1:22" ht="15.75" customHeight="1" x14ac:dyDescent="0.25">
      <c r="B12" s="50" t="s">
        <v>21</v>
      </c>
      <c r="C12" s="9">
        <v>363.69</v>
      </c>
      <c r="D12" s="9">
        <v>1877.84</v>
      </c>
      <c r="E12" s="27">
        <v>1516.57</v>
      </c>
      <c r="F12" s="27">
        <v>1358.41</v>
      </c>
      <c r="G12" s="27">
        <v>689.66</v>
      </c>
      <c r="H12" s="27">
        <f t="shared" ref="H12:M12" si="10">H8*$V$10</f>
        <v>597.63355009329518</v>
      </c>
      <c r="I12" s="27">
        <f t="shared" si="10"/>
        <v>597.63355009329518</v>
      </c>
      <c r="J12" s="27">
        <f t="shared" si="10"/>
        <v>599.12763396852836</v>
      </c>
      <c r="K12" s="27">
        <f t="shared" si="10"/>
        <v>600.62545305344963</v>
      </c>
      <c r="L12" s="27">
        <f t="shared" si="10"/>
        <v>602.12701668608327</v>
      </c>
      <c r="M12" s="27">
        <f t="shared" si="10"/>
        <v>609.65360439465928</v>
      </c>
    </row>
    <row r="13" spans="1:22" x14ac:dyDescent="0.25">
      <c r="B13" s="44" t="s">
        <v>23</v>
      </c>
      <c r="C13" s="14">
        <f>SUM(C10:C12)</f>
        <v>2174.6799999999998</v>
      </c>
      <c r="D13" s="14">
        <f t="shared" ref="D13:M13" si="11">SUM(D10:D12)</f>
        <v>3681.74</v>
      </c>
      <c r="E13" s="14">
        <f t="shared" si="11"/>
        <v>4382.57</v>
      </c>
      <c r="F13" s="14">
        <f t="shared" si="11"/>
        <v>3543.2200000000003</v>
      </c>
      <c r="G13" s="53">
        <f t="shared" si="11"/>
        <v>2781.9199999999996</v>
      </c>
      <c r="H13" s="53">
        <f t="shared" si="11"/>
        <v>2951.888904115257</v>
      </c>
      <c r="I13" s="53">
        <f t="shared" si="11"/>
        <v>2951.888904115257</v>
      </c>
      <c r="J13" s="53">
        <f t="shared" si="11"/>
        <v>2959.268626375545</v>
      </c>
      <c r="K13" s="53">
        <f t="shared" si="11"/>
        <v>2966.6667979414833</v>
      </c>
      <c r="L13" s="53">
        <f t="shared" si="11"/>
        <v>2974.0834649363369</v>
      </c>
      <c r="M13" s="53">
        <f t="shared" si="11"/>
        <v>3011.2595082480416</v>
      </c>
    </row>
    <row r="14" spans="1:22" x14ac:dyDescent="0.25">
      <c r="B14" s="44" t="s">
        <v>121</v>
      </c>
      <c r="C14" s="14">
        <f>C8-C13</f>
        <v>572.05000000000018</v>
      </c>
      <c r="D14" s="14">
        <f>D8-D13</f>
        <v>-7.2899999999999636</v>
      </c>
      <c r="E14" s="14">
        <f>E8-E13</f>
        <v>44.490000000000691</v>
      </c>
      <c r="F14" s="14">
        <f>F8-F13</f>
        <v>732.46999999999935</v>
      </c>
      <c r="G14" s="53">
        <f>G8-G13</f>
        <v>1410.6300000000006</v>
      </c>
      <c r="H14" s="53">
        <f t="shared" ref="H14:M14" si="12">H8-H13</f>
        <v>1240.6610958847432</v>
      </c>
      <c r="I14" s="53">
        <f t="shared" si="12"/>
        <v>1240.6610958847432</v>
      </c>
      <c r="J14" s="53">
        <f t="shared" si="12"/>
        <v>1243.7627486244546</v>
      </c>
      <c r="K14" s="53">
        <f t="shared" si="12"/>
        <v>1246.8721554960157</v>
      </c>
      <c r="L14" s="53">
        <f t="shared" si="12"/>
        <v>1249.9893358847557</v>
      </c>
      <c r="M14" s="53">
        <f t="shared" si="12"/>
        <v>1265.6142025833146</v>
      </c>
    </row>
    <row r="15" spans="1:22" x14ac:dyDescent="0.25">
      <c r="B15" s="64" t="s">
        <v>22</v>
      </c>
      <c r="C15" s="9">
        <v>518.82000000000005</v>
      </c>
      <c r="D15" s="9">
        <v>697.91</v>
      </c>
      <c r="E15" s="27">
        <v>695.21</v>
      </c>
      <c r="F15" s="27">
        <v>679.41</v>
      </c>
      <c r="G15" s="27">
        <v>672.38</v>
      </c>
      <c r="H15" s="27">
        <f>Sheet3!C6</f>
        <v>606.36583534045872</v>
      </c>
      <c r="I15" s="27">
        <f>Sheet3!D6</f>
        <v>575.58139316952543</v>
      </c>
      <c r="J15" s="27">
        <f>Sheet3!E6</f>
        <v>546.35983898558345</v>
      </c>
      <c r="K15" s="27">
        <f>Sheet3!F6</f>
        <v>518.62182690195664</v>
      </c>
      <c r="L15" s="27">
        <f>Sheet3!G6</f>
        <v>492.29203932432563</v>
      </c>
      <c r="M15" s="27">
        <f>L15</f>
        <v>492.29203932432563</v>
      </c>
    </row>
    <row r="16" spans="1:22" x14ac:dyDescent="0.25">
      <c r="B16" s="110" t="s">
        <v>122</v>
      </c>
      <c r="C16" s="14">
        <f>C14-C15</f>
        <v>53.230000000000132</v>
      </c>
      <c r="D16" s="14">
        <f t="shared" ref="D16:M16" si="13">D14-D15</f>
        <v>-705.19999999999993</v>
      </c>
      <c r="E16" s="14">
        <f t="shared" si="13"/>
        <v>-650.71999999999935</v>
      </c>
      <c r="F16" s="14">
        <f t="shared" si="13"/>
        <v>53.059999999999377</v>
      </c>
      <c r="G16" s="53">
        <f t="shared" si="13"/>
        <v>738.25000000000057</v>
      </c>
      <c r="H16" s="107">
        <f t="shared" si="13"/>
        <v>634.29526054428447</v>
      </c>
      <c r="I16" s="107">
        <f t="shared" si="13"/>
        <v>665.07970271521776</v>
      </c>
      <c r="J16" s="107">
        <f t="shared" si="13"/>
        <v>697.40290963887117</v>
      </c>
      <c r="K16" s="107">
        <f t="shared" si="13"/>
        <v>728.25032859405906</v>
      </c>
      <c r="L16" s="107">
        <f t="shared" si="13"/>
        <v>757.69729656043012</v>
      </c>
      <c r="M16" s="107">
        <f t="shared" si="13"/>
        <v>773.32216325898901</v>
      </c>
    </row>
    <row r="17" spans="2:13" x14ac:dyDescent="0.25">
      <c r="B17" s="111" t="s">
        <v>185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</row>
    <row r="18" spans="2:13" x14ac:dyDescent="0.25">
      <c r="B18" s="111" t="s">
        <v>186</v>
      </c>
      <c r="H18" s="109">
        <f>1-H17</f>
        <v>1</v>
      </c>
      <c r="I18" s="109">
        <f t="shared" ref="I18:M18" si="14">1-I17</f>
        <v>1</v>
      </c>
      <c r="J18" s="109">
        <f t="shared" si="14"/>
        <v>1</v>
      </c>
      <c r="K18" s="109">
        <f t="shared" si="14"/>
        <v>1</v>
      </c>
      <c r="L18" s="109">
        <f t="shared" si="14"/>
        <v>1</v>
      </c>
      <c r="M18" s="109">
        <f t="shared" si="14"/>
        <v>1</v>
      </c>
    </row>
    <row r="19" spans="2:13" x14ac:dyDescent="0.25">
      <c r="B19" s="112" t="s">
        <v>187</v>
      </c>
      <c r="H19" s="27">
        <f>H16*H18</f>
        <v>634.29526054428447</v>
      </c>
      <c r="I19" s="27">
        <f t="shared" ref="I19:M19" si="15">I16*I18</f>
        <v>665.07970271521776</v>
      </c>
      <c r="J19" s="27">
        <f t="shared" si="15"/>
        <v>697.40290963887117</v>
      </c>
      <c r="K19" s="27">
        <f t="shared" si="15"/>
        <v>728.25032859405906</v>
      </c>
      <c r="L19" s="27">
        <f t="shared" si="15"/>
        <v>757.69729656043012</v>
      </c>
      <c r="M19" s="27">
        <f t="shared" si="15"/>
        <v>773.32216325898901</v>
      </c>
    </row>
    <row r="20" spans="2:13" x14ac:dyDescent="0.25">
      <c r="B20" s="111" t="s">
        <v>188</v>
      </c>
      <c r="H20" s="27">
        <f>H15</f>
        <v>606.36583534045872</v>
      </c>
      <c r="I20" s="27">
        <f t="shared" ref="I20:M20" si="16">I15</f>
        <v>575.58139316952543</v>
      </c>
      <c r="J20" s="27">
        <f t="shared" si="16"/>
        <v>546.35983898558345</v>
      </c>
      <c r="K20" s="27">
        <f t="shared" si="16"/>
        <v>518.62182690195664</v>
      </c>
      <c r="L20" s="27">
        <f t="shared" si="16"/>
        <v>492.29203932432563</v>
      </c>
      <c r="M20" s="27">
        <f t="shared" si="16"/>
        <v>492.29203932432563</v>
      </c>
    </row>
    <row r="21" spans="2:13" x14ac:dyDescent="0.25">
      <c r="B21" s="111" t="s">
        <v>189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</row>
    <row r="22" spans="2:13" ht="15" customHeight="1" x14ac:dyDescent="0.25">
      <c r="B22" s="111" t="s">
        <v>190</v>
      </c>
      <c r="H22" s="27">
        <v>0</v>
      </c>
      <c r="I22" s="27">
        <v>0</v>
      </c>
      <c r="J22" s="27">
        <v>1026</v>
      </c>
      <c r="K22" s="27">
        <v>1026</v>
      </c>
      <c r="L22" s="27">
        <v>0</v>
      </c>
      <c r="M22" s="27">
        <v>0</v>
      </c>
    </row>
    <row r="23" spans="2:13" x14ac:dyDescent="0.25">
      <c r="B23" s="113" t="s">
        <v>191</v>
      </c>
      <c r="H23" s="27">
        <f t="shared" ref="H23:I23" si="17">H19+H20-H21-H22</f>
        <v>1240.6610958847432</v>
      </c>
      <c r="I23" s="27">
        <f t="shared" si="17"/>
        <v>1240.6610958847432</v>
      </c>
      <c r="J23" s="27">
        <f>J19+J20-J21-J22</f>
        <v>217.76274862445462</v>
      </c>
      <c r="K23" s="27">
        <f t="shared" ref="K23:M23" si="18">K19+K20-K21-K22</f>
        <v>220.87215549601569</v>
      </c>
      <c r="L23" s="27">
        <f t="shared" si="18"/>
        <v>1249.9893358847557</v>
      </c>
      <c r="M23" s="27">
        <f t="shared" si="18"/>
        <v>1265.6142025833146</v>
      </c>
    </row>
    <row r="24" spans="2:13" x14ac:dyDescent="0.25">
      <c r="B24" s="112" t="s">
        <v>192</v>
      </c>
      <c r="H24" s="153">
        <f>'Discount Rate'!C7</f>
        <v>0.15250000000000002</v>
      </c>
      <c r="I24" s="154"/>
      <c r="J24" s="154"/>
      <c r="K24" s="154"/>
      <c r="L24" s="154"/>
      <c r="M24" s="155"/>
    </row>
    <row r="25" spans="2:13" x14ac:dyDescent="0.25">
      <c r="B25" s="112" t="s">
        <v>196</v>
      </c>
      <c r="H25" s="153">
        <v>1.2500000000000001E-2</v>
      </c>
      <c r="I25" s="154"/>
      <c r="J25" s="154"/>
      <c r="K25" s="154"/>
      <c r="L25" s="154"/>
      <c r="M25" s="155"/>
    </row>
    <row r="26" spans="2:13" ht="15.75" customHeight="1" x14ac:dyDescent="0.25">
      <c r="B26" s="114" t="s">
        <v>193</v>
      </c>
      <c r="H26" s="115">
        <f>3/12</f>
        <v>0.25</v>
      </c>
      <c r="I26" s="115">
        <f>H26+1</f>
        <v>1.25</v>
      </c>
      <c r="J26" s="115">
        <f t="shared" ref="J26:L26" si="19">I26+1</f>
        <v>2.25</v>
      </c>
      <c r="K26" s="115">
        <f t="shared" si="19"/>
        <v>3.25</v>
      </c>
      <c r="L26" s="115">
        <f t="shared" si="19"/>
        <v>4.25</v>
      </c>
      <c r="M26" s="95" t="s">
        <v>6</v>
      </c>
    </row>
    <row r="27" spans="2:13" ht="15.75" customHeight="1" x14ac:dyDescent="0.25">
      <c r="B27" s="111" t="s">
        <v>194</v>
      </c>
      <c r="C27" s="32"/>
      <c r="D27" s="32"/>
      <c r="E27" s="32"/>
      <c r="F27" s="32"/>
      <c r="G27" s="32"/>
      <c r="H27" s="27">
        <f>1/(1+$H$24)^H26</f>
        <v>0.96513878052083502</v>
      </c>
      <c r="I27" s="27">
        <f t="shared" ref="I27:L27" si="20">1/(1+$H$24)^I26</f>
        <v>0.83743061216558357</v>
      </c>
      <c r="J27" s="27">
        <f t="shared" si="20"/>
        <v>0.72662092161872749</v>
      </c>
      <c r="K27" s="27">
        <f t="shared" si="20"/>
        <v>0.63047368470171583</v>
      </c>
      <c r="L27" s="27">
        <f t="shared" si="20"/>
        <v>0.54704875028348443</v>
      </c>
      <c r="M27" s="95" t="s">
        <v>6</v>
      </c>
    </row>
    <row r="28" spans="2:13" x14ac:dyDescent="0.25">
      <c r="B28" s="32" t="s">
        <v>197</v>
      </c>
      <c r="L28" s="118">
        <f>M23/(H24-H25)</f>
        <v>9040.1014470236751</v>
      </c>
      <c r="M28" s="95" t="s">
        <v>6</v>
      </c>
    </row>
    <row r="29" spans="2:13" x14ac:dyDescent="0.25">
      <c r="B29" s="116" t="s">
        <v>195</v>
      </c>
      <c r="C29" s="117"/>
      <c r="D29" s="117"/>
      <c r="E29" s="117"/>
      <c r="F29" s="117"/>
      <c r="G29" s="117"/>
      <c r="H29" s="53">
        <f>H23*H27</f>
        <v>1197.4101371218437</v>
      </c>
      <c r="I29" s="53">
        <f>I23*I27</f>
        <v>1038.9675810167842</v>
      </c>
      <c r="J29" s="53">
        <f>J23*J27</f>
        <v>158.2309690997285</v>
      </c>
      <c r="K29" s="53">
        <f>K23*K27</f>
        <v>139.25408172358334</v>
      </c>
      <c r="L29" s="53">
        <f>L23*L27</f>
        <v>683.80510406343831</v>
      </c>
      <c r="M29" s="95" t="s">
        <v>6</v>
      </c>
    </row>
    <row r="30" spans="2:13" x14ac:dyDescent="0.25">
      <c r="B30" s="112" t="s">
        <v>198</v>
      </c>
      <c r="L30" s="115">
        <f>L28*L27</f>
        <v>4945.376199030221</v>
      </c>
      <c r="M30" s="95" t="s">
        <v>6</v>
      </c>
    </row>
    <row r="31" spans="2:13" x14ac:dyDescent="0.25">
      <c r="B31" s="112" t="s">
        <v>199</v>
      </c>
      <c r="C31" s="32"/>
      <c r="D31" s="32"/>
      <c r="E31" s="32"/>
      <c r="F31" s="32"/>
      <c r="G31" s="32"/>
      <c r="H31" s="27">
        <f>H29+H30</f>
        <v>1197.4101371218437</v>
      </c>
      <c r="I31" s="27">
        <f t="shared" ref="I31:L31" si="21">I29+I30</f>
        <v>1038.9675810167842</v>
      </c>
      <c r="J31" s="27">
        <f t="shared" si="21"/>
        <v>158.2309690997285</v>
      </c>
      <c r="K31" s="27">
        <f t="shared" si="21"/>
        <v>139.25408172358334</v>
      </c>
      <c r="L31" s="27">
        <f t="shared" si="21"/>
        <v>5629.1813030936592</v>
      </c>
      <c r="M31" s="95" t="s">
        <v>6</v>
      </c>
    </row>
    <row r="32" spans="2:13" x14ac:dyDescent="0.25">
      <c r="B32" s="120" t="s">
        <v>200</v>
      </c>
      <c r="C32" s="81"/>
      <c r="D32" s="81"/>
      <c r="E32" s="81"/>
      <c r="F32" s="81"/>
      <c r="G32" s="81"/>
      <c r="H32" s="133">
        <f>SUM(H31:L31)</f>
        <v>8163.0440720555989</v>
      </c>
      <c r="I32" s="131" t="s">
        <v>215</v>
      </c>
      <c r="J32" s="131"/>
      <c r="K32" s="131"/>
      <c r="L32" s="132"/>
      <c r="M32" s="144"/>
    </row>
    <row r="37" spans="10:10" x14ac:dyDescent="0.25">
      <c r="J37" s="102"/>
    </row>
  </sheetData>
  <mergeCells count="4">
    <mergeCell ref="B4:G4"/>
    <mergeCell ref="B2:H2"/>
    <mergeCell ref="H24:M24"/>
    <mergeCell ref="H25:M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828A-4724-40DD-AC7A-83A258DD5988}">
  <sheetPr>
    <tabColor theme="7" tint="0.59999389629810485"/>
  </sheetPr>
  <dimension ref="A1:V37"/>
  <sheetViews>
    <sheetView showGridLines="0" topLeftCell="A7" workbookViewId="0">
      <selection activeCell="H29" sqref="H29:L29"/>
    </sheetView>
  </sheetViews>
  <sheetFormatPr defaultRowHeight="15" x14ac:dyDescent="0.25"/>
  <cols>
    <col min="1" max="1" width="5.42578125" customWidth="1"/>
    <col min="2" max="2" width="40.140625" customWidth="1"/>
    <col min="3" max="7" width="9.28515625" hidden="1" customWidth="1"/>
    <col min="8" max="8" width="12.140625" customWidth="1"/>
    <col min="9" max="12" width="12.5703125" bestFit="1" customWidth="1"/>
    <col min="13" max="13" width="10.42578125" customWidth="1"/>
    <col min="15" max="15" width="0" hidden="1" customWidth="1"/>
    <col min="16" max="16" width="26.5703125" customWidth="1"/>
  </cols>
  <sheetData>
    <row r="1" spans="1:22" x14ac:dyDescent="0.25">
      <c r="A1" s="2"/>
      <c r="B1" s="2"/>
      <c r="C1" s="2"/>
      <c r="D1" s="2"/>
      <c r="E1" s="2"/>
      <c r="F1" s="2"/>
      <c r="G1" s="2"/>
    </row>
    <row r="2" spans="1:22" x14ac:dyDescent="0.25">
      <c r="A2" s="2"/>
      <c r="B2" s="152" t="s">
        <v>99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22" ht="10.5" customHeight="1" x14ac:dyDescent="0.25">
      <c r="A3" s="2"/>
      <c r="B3" s="2"/>
      <c r="C3" s="2"/>
      <c r="D3" s="2"/>
      <c r="E3" s="2"/>
      <c r="F3" s="2"/>
      <c r="G3" s="2"/>
    </row>
    <row r="4" spans="1:22" x14ac:dyDescent="0.25">
      <c r="A4" s="2"/>
      <c r="B4" s="149" t="s">
        <v>107</v>
      </c>
      <c r="C4" s="149"/>
      <c r="D4" s="149"/>
      <c r="E4" s="149"/>
      <c r="F4" s="149"/>
      <c r="G4" s="149"/>
      <c r="H4" s="69"/>
      <c r="I4" s="69"/>
      <c r="J4" s="69"/>
      <c r="K4" s="69"/>
      <c r="L4" s="69"/>
      <c r="M4" s="69"/>
    </row>
    <row r="5" spans="1:22" x14ac:dyDescent="0.25">
      <c r="A5" s="2"/>
      <c r="B5" s="2"/>
      <c r="C5" s="2"/>
      <c r="D5" s="2"/>
      <c r="E5" s="2"/>
      <c r="F5" s="2"/>
      <c r="G5" s="2"/>
      <c r="H5" s="123">
        <v>1.4999999999999999E-2</v>
      </c>
      <c r="I5" s="123">
        <v>1.4999999999999999E-2</v>
      </c>
      <c r="J5" s="123">
        <v>1.7500000000000002E-2</v>
      </c>
      <c r="K5" s="123">
        <v>1.7500000000000002E-2</v>
      </c>
      <c r="L5" s="123">
        <v>1.7500000000000002E-2</v>
      </c>
      <c r="M5" s="123"/>
    </row>
    <row r="6" spans="1:22" ht="18" customHeight="1" x14ac:dyDescent="0.25">
      <c r="B6" s="3" t="s">
        <v>41</v>
      </c>
      <c r="C6" s="51">
        <v>2018</v>
      </c>
      <c r="D6" s="51">
        <f>C6+1</f>
        <v>2019</v>
      </c>
      <c r="E6" s="51">
        <f t="shared" ref="E6:L6" si="0">D6+1</f>
        <v>2020</v>
      </c>
      <c r="F6" s="51">
        <f t="shared" si="0"/>
        <v>2021</v>
      </c>
      <c r="G6" s="52">
        <f t="shared" si="0"/>
        <v>2022</v>
      </c>
      <c r="H6" s="52">
        <f t="shared" si="0"/>
        <v>2023</v>
      </c>
      <c r="I6" s="52">
        <f t="shared" si="0"/>
        <v>2024</v>
      </c>
      <c r="J6" s="52">
        <f t="shared" si="0"/>
        <v>2025</v>
      </c>
      <c r="K6" s="52">
        <f t="shared" si="0"/>
        <v>2026</v>
      </c>
      <c r="L6" s="52">
        <f t="shared" si="0"/>
        <v>2027</v>
      </c>
      <c r="M6" s="52" t="s">
        <v>201</v>
      </c>
    </row>
    <row r="7" spans="1:22" x14ac:dyDescent="0.25">
      <c r="B7" s="15" t="s">
        <v>123</v>
      </c>
      <c r="C7" s="9">
        <v>2746.73</v>
      </c>
      <c r="D7" s="9">
        <v>3674.45</v>
      </c>
      <c r="E7" s="27">
        <v>4427.0600000000004</v>
      </c>
      <c r="F7" s="27">
        <v>4275.6899999999996</v>
      </c>
      <c r="G7" s="27">
        <v>4192.55</v>
      </c>
      <c r="H7" s="27">
        <f>G7*(1+H5)</f>
        <v>4255.4382500000002</v>
      </c>
      <c r="I7" s="27">
        <f t="shared" ref="I7:L7" si="1">H7*(1+I5)</f>
        <v>4319.2698237499999</v>
      </c>
      <c r="J7" s="27">
        <f t="shared" si="1"/>
        <v>4394.8570456656253</v>
      </c>
      <c r="K7" s="27">
        <f t="shared" si="1"/>
        <v>4471.7670439647736</v>
      </c>
      <c r="L7" s="27">
        <f t="shared" si="1"/>
        <v>4550.0229672341575</v>
      </c>
      <c r="M7" s="27">
        <f>L7*(1+H25)</f>
        <v>4606.8982543245838</v>
      </c>
      <c r="P7" s="58" t="s">
        <v>41</v>
      </c>
      <c r="Q7" s="59">
        <v>2018</v>
      </c>
      <c r="R7" s="59">
        <f>Q7+1</f>
        <v>2019</v>
      </c>
      <c r="S7" s="59">
        <f t="shared" ref="S7:U7" si="2">R7+1</f>
        <v>2020</v>
      </c>
      <c r="T7" s="59">
        <f t="shared" si="2"/>
        <v>2021</v>
      </c>
      <c r="U7" s="60">
        <f t="shared" si="2"/>
        <v>2022</v>
      </c>
      <c r="V7" s="60" t="s">
        <v>146</v>
      </c>
    </row>
    <row r="8" spans="1:22" x14ac:dyDescent="0.25">
      <c r="B8" s="44" t="s">
        <v>125</v>
      </c>
      <c r="C8" s="14">
        <f t="shared" ref="C8:M8" si="3">SUM(C7:C7)</f>
        <v>2746.73</v>
      </c>
      <c r="D8" s="14">
        <f t="shared" si="3"/>
        <v>3674.45</v>
      </c>
      <c r="E8" s="36">
        <f t="shared" si="3"/>
        <v>4427.0600000000004</v>
      </c>
      <c r="F8" s="36">
        <f t="shared" si="3"/>
        <v>4275.6899999999996</v>
      </c>
      <c r="G8" s="36">
        <f t="shared" si="3"/>
        <v>4192.55</v>
      </c>
      <c r="H8" s="36">
        <f t="shared" si="3"/>
        <v>4255.4382500000002</v>
      </c>
      <c r="I8" s="36">
        <f t="shared" si="3"/>
        <v>4319.2698237499999</v>
      </c>
      <c r="J8" s="36">
        <f t="shared" si="3"/>
        <v>4394.8570456656253</v>
      </c>
      <c r="K8" s="36">
        <f t="shared" si="3"/>
        <v>4471.7670439647736</v>
      </c>
      <c r="L8" s="36">
        <f t="shared" si="3"/>
        <v>4550.0229672341575</v>
      </c>
      <c r="M8" s="36">
        <f t="shared" si="3"/>
        <v>4606.8982543245838</v>
      </c>
      <c r="P8" s="32" t="s">
        <v>128</v>
      </c>
      <c r="Q8" s="61">
        <f>C10/C$7</f>
        <v>0.63896706265268155</v>
      </c>
      <c r="R8" s="61">
        <f t="shared" ref="R8:U9" si="4">D10/D$7</f>
        <v>0.46975193566384082</v>
      </c>
      <c r="S8" s="61">
        <f t="shared" si="4"/>
        <v>0.63260493420012376</v>
      </c>
      <c r="T8" s="61">
        <f t="shared" si="4"/>
        <v>0.49314379667375335</v>
      </c>
      <c r="U8" s="61">
        <f t="shared" si="4"/>
        <v>0.48004436440829562</v>
      </c>
      <c r="V8" s="61">
        <f>AVERAGE(Q8:U8)</f>
        <v>0.54290241871973899</v>
      </c>
    </row>
    <row r="9" spans="1:22" ht="15.75" customHeight="1" x14ac:dyDescent="0.25">
      <c r="B9" s="16" t="s">
        <v>126</v>
      </c>
      <c r="C9" s="9"/>
      <c r="D9" s="105">
        <f>D8/C8-1</f>
        <v>0.33775434789731773</v>
      </c>
      <c r="E9" s="105">
        <f t="shared" ref="E9:G9" si="5">E8/D8-1</f>
        <v>0.2048224904407463</v>
      </c>
      <c r="F9" s="105">
        <f t="shared" si="5"/>
        <v>-3.4191991976616709E-2</v>
      </c>
      <c r="G9" s="105">
        <f t="shared" si="5"/>
        <v>-1.9444814755045225E-2</v>
      </c>
      <c r="H9" s="27"/>
      <c r="I9" s="27"/>
      <c r="J9" s="27"/>
      <c r="K9" s="27"/>
      <c r="L9" s="27"/>
      <c r="M9" s="27"/>
      <c r="P9" s="62" t="s">
        <v>19</v>
      </c>
      <c r="Q9" s="61">
        <f t="shared" ref="Q9" si="6">C11/C$7</f>
        <v>2.0358753863685183E-2</v>
      </c>
      <c r="R9" s="61">
        <f t="shared" si="4"/>
        <v>2.1178679802419408E-2</v>
      </c>
      <c r="S9" s="61">
        <f t="shared" si="4"/>
        <v>1.4777301414482748E-2</v>
      </c>
      <c r="T9" s="61">
        <f t="shared" si="4"/>
        <v>1.7840395351393579E-2</v>
      </c>
      <c r="U9" s="61">
        <f t="shared" si="4"/>
        <v>1.8997984520160761E-2</v>
      </c>
      <c r="V9" s="61">
        <f t="shared" ref="V9" si="7">AVERAGE(Q9:U9)</f>
        <v>1.8630622990428333E-2</v>
      </c>
    </row>
    <row r="10" spans="1:22" ht="17.25" customHeight="1" x14ac:dyDescent="0.25">
      <c r="B10" s="50" t="s">
        <v>18</v>
      </c>
      <c r="C10" s="9">
        <v>1755.07</v>
      </c>
      <c r="D10" s="9">
        <v>1726.08</v>
      </c>
      <c r="E10" s="27">
        <v>2800.58</v>
      </c>
      <c r="F10" s="27">
        <v>2108.5300000000002</v>
      </c>
      <c r="G10" s="27">
        <v>2012.61</v>
      </c>
      <c r="H10" s="27">
        <f>H8*$V$8</f>
        <v>2310.2877186374935</v>
      </c>
      <c r="I10" s="27">
        <f t="shared" ref="I10:M10" si="8">I8*$V$8</f>
        <v>2344.9420344170558</v>
      </c>
      <c r="J10" s="27">
        <f t="shared" si="8"/>
        <v>2385.9785200193542</v>
      </c>
      <c r="K10" s="27">
        <f t="shared" si="8"/>
        <v>2427.733144119693</v>
      </c>
      <c r="L10" s="27">
        <f t="shared" si="8"/>
        <v>2470.2184741417877</v>
      </c>
      <c r="M10" s="27">
        <f t="shared" si="8"/>
        <v>2501.0962050685598</v>
      </c>
      <c r="P10" s="62" t="s">
        <v>208</v>
      </c>
      <c r="Q10" s="61">
        <f>'P&amp;L'!J19</f>
        <v>0.13240835466172504</v>
      </c>
      <c r="R10" s="61">
        <f>'P&amp;L'!K19</f>
        <v>0.51105335492386617</v>
      </c>
      <c r="S10" s="61">
        <f>'P&amp;L'!L19</f>
        <v>0.13213735526511949</v>
      </c>
      <c r="T10" s="61">
        <f>'P&amp;L'!M19</f>
        <v>0.13100575579614054</v>
      </c>
      <c r="U10" s="61">
        <f>'P&amp;L'!N19</f>
        <v>0.16449654744725761</v>
      </c>
      <c r="V10" s="61">
        <f>AVERAGE(S10:U10)</f>
        <v>0.14254655283617254</v>
      </c>
    </row>
    <row r="11" spans="1:22" ht="16.5" customHeight="1" x14ac:dyDescent="0.25">
      <c r="B11" s="47" t="s">
        <v>19</v>
      </c>
      <c r="C11" s="9">
        <v>55.92</v>
      </c>
      <c r="D11" s="9">
        <v>77.819999999999993</v>
      </c>
      <c r="E11" s="27">
        <v>65.42</v>
      </c>
      <c r="F11" s="27">
        <v>76.28</v>
      </c>
      <c r="G11" s="27">
        <v>79.650000000000006</v>
      </c>
      <c r="H11" s="27">
        <f>H8*$V$9</f>
        <v>79.281465694798115</v>
      </c>
      <c r="I11" s="27">
        <f t="shared" ref="I11:M11" si="9">I8*$V$9</f>
        <v>80.470687680220081</v>
      </c>
      <c r="J11" s="27">
        <f t="shared" si="9"/>
        <v>81.878924714623935</v>
      </c>
      <c r="K11" s="27">
        <f t="shared" si="9"/>
        <v>83.311805897129858</v>
      </c>
      <c r="L11" s="27">
        <f t="shared" si="9"/>
        <v>84.769762500329634</v>
      </c>
      <c r="M11" s="27">
        <f t="shared" si="9"/>
        <v>85.829384531583742</v>
      </c>
    </row>
    <row r="12" spans="1:22" ht="15.75" customHeight="1" x14ac:dyDescent="0.25">
      <c r="B12" s="50" t="s">
        <v>21</v>
      </c>
      <c r="C12" s="9">
        <v>363.69</v>
      </c>
      <c r="D12" s="9">
        <v>1877.84</v>
      </c>
      <c r="E12" s="27">
        <v>1516.57</v>
      </c>
      <c r="F12" s="27">
        <v>1358.41</v>
      </c>
      <c r="G12" s="27">
        <v>689.66</v>
      </c>
      <c r="H12" s="27">
        <f t="shared" ref="H12:M12" si="10">H8*$V$10</f>
        <v>606.59805334469468</v>
      </c>
      <c r="I12" s="27">
        <f t="shared" si="10"/>
        <v>615.69702414486505</v>
      </c>
      <c r="J12" s="27">
        <f t="shared" si="10"/>
        <v>626.47172206740026</v>
      </c>
      <c r="K12" s="27">
        <f t="shared" si="10"/>
        <v>637.43497720357971</v>
      </c>
      <c r="L12" s="27">
        <f t="shared" si="10"/>
        <v>648.59008930464245</v>
      </c>
      <c r="M12" s="27">
        <f t="shared" si="10"/>
        <v>656.69746542095038</v>
      </c>
    </row>
    <row r="13" spans="1:22" x14ac:dyDescent="0.25">
      <c r="B13" s="44" t="s">
        <v>23</v>
      </c>
      <c r="C13" s="14">
        <f>SUM(C10:C12)</f>
        <v>2174.6799999999998</v>
      </c>
      <c r="D13" s="14">
        <f t="shared" ref="D13:M13" si="11">SUM(D10:D12)</f>
        <v>3681.74</v>
      </c>
      <c r="E13" s="14">
        <f t="shared" si="11"/>
        <v>4382.57</v>
      </c>
      <c r="F13" s="14">
        <f t="shared" si="11"/>
        <v>3543.2200000000003</v>
      </c>
      <c r="G13" s="53">
        <f t="shared" si="11"/>
        <v>2781.9199999999996</v>
      </c>
      <c r="H13" s="53">
        <f t="shared" si="11"/>
        <v>2996.1672376769861</v>
      </c>
      <c r="I13" s="53">
        <f t="shared" si="11"/>
        <v>3041.1097462421412</v>
      </c>
      <c r="J13" s="53">
        <f t="shared" si="11"/>
        <v>3094.3291668013781</v>
      </c>
      <c r="K13" s="53">
        <f t="shared" si="11"/>
        <v>3148.4799272204027</v>
      </c>
      <c r="L13" s="53">
        <f t="shared" si="11"/>
        <v>3203.5783259467598</v>
      </c>
      <c r="M13" s="53">
        <f t="shared" si="11"/>
        <v>3243.6230550210939</v>
      </c>
    </row>
    <row r="14" spans="1:22" x14ac:dyDescent="0.25">
      <c r="B14" s="44" t="s">
        <v>121</v>
      </c>
      <c r="C14" s="14">
        <f>C8-C13</f>
        <v>572.05000000000018</v>
      </c>
      <c r="D14" s="14">
        <f>D8-D13</f>
        <v>-7.2899999999999636</v>
      </c>
      <c r="E14" s="14">
        <f>E8-E13</f>
        <v>44.490000000000691</v>
      </c>
      <c r="F14" s="14">
        <f>F8-F13</f>
        <v>732.46999999999935</v>
      </c>
      <c r="G14" s="53">
        <f>G8-G13</f>
        <v>1410.6300000000006</v>
      </c>
      <c r="H14" s="53">
        <f t="shared" ref="H14:M14" si="12">H8-H13</f>
        <v>1259.271012323014</v>
      </c>
      <c r="I14" s="53">
        <f t="shared" si="12"/>
        <v>1278.1600775078587</v>
      </c>
      <c r="J14" s="53">
        <f t="shared" si="12"/>
        <v>1300.5278788642472</v>
      </c>
      <c r="K14" s="53">
        <f t="shared" si="12"/>
        <v>1323.2871167443709</v>
      </c>
      <c r="L14" s="53">
        <f t="shared" si="12"/>
        <v>1346.4446412873976</v>
      </c>
      <c r="M14" s="53">
        <f t="shared" si="12"/>
        <v>1363.2751993034899</v>
      </c>
    </row>
    <row r="15" spans="1:22" x14ac:dyDescent="0.25">
      <c r="B15" s="64" t="s">
        <v>22</v>
      </c>
      <c r="C15" s="9">
        <v>518.82000000000005</v>
      </c>
      <c r="D15" s="9">
        <v>697.91</v>
      </c>
      <c r="E15" s="27">
        <v>695.21</v>
      </c>
      <c r="F15" s="27">
        <v>679.41</v>
      </c>
      <c r="G15" s="27">
        <v>672.38</v>
      </c>
      <c r="H15" s="27">
        <f>Sheet3!C6</f>
        <v>606.36583534045872</v>
      </c>
      <c r="I15" s="27">
        <f>Sheet3!D6</f>
        <v>575.58139316952543</v>
      </c>
      <c r="J15" s="27">
        <f>Sheet3!E6</f>
        <v>546.35983898558345</v>
      </c>
      <c r="K15" s="27">
        <f>Sheet3!F6</f>
        <v>518.62182690195664</v>
      </c>
      <c r="L15" s="27">
        <f>Sheet3!G6</f>
        <v>492.29203932432563</v>
      </c>
      <c r="M15" s="27">
        <f>L15</f>
        <v>492.29203932432563</v>
      </c>
    </row>
    <row r="16" spans="1:22" x14ac:dyDescent="0.25">
      <c r="B16" s="110" t="s">
        <v>122</v>
      </c>
      <c r="C16" s="14">
        <f>C14-C15</f>
        <v>53.230000000000132</v>
      </c>
      <c r="D16" s="14">
        <f t="shared" ref="D16:M16" si="13">D14-D15</f>
        <v>-705.19999999999993</v>
      </c>
      <c r="E16" s="14">
        <f t="shared" si="13"/>
        <v>-650.71999999999935</v>
      </c>
      <c r="F16" s="14">
        <f t="shared" si="13"/>
        <v>53.059999999999377</v>
      </c>
      <c r="G16" s="53">
        <f t="shared" si="13"/>
        <v>738.25000000000057</v>
      </c>
      <c r="H16" s="107">
        <f t="shared" si="13"/>
        <v>652.9051769825553</v>
      </c>
      <c r="I16" s="107">
        <f t="shared" si="13"/>
        <v>702.57868433833323</v>
      </c>
      <c r="J16" s="107">
        <f t="shared" si="13"/>
        <v>754.16803987866376</v>
      </c>
      <c r="K16" s="107">
        <f t="shared" si="13"/>
        <v>804.66528984241427</v>
      </c>
      <c r="L16" s="107">
        <f t="shared" si="13"/>
        <v>854.15260196307202</v>
      </c>
      <c r="M16" s="107">
        <f t="shared" si="13"/>
        <v>870.98315997916427</v>
      </c>
    </row>
    <row r="17" spans="2:13" x14ac:dyDescent="0.25">
      <c r="B17" s="111" t="s">
        <v>185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</row>
    <row r="18" spans="2:13" x14ac:dyDescent="0.25">
      <c r="B18" s="111" t="s">
        <v>186</v>
      </c>
      <c r="H18" s="109">
        <f>1-H17</f>
        <v>1</v>
      </c>
      <c r="I18" s="109">
        <f t="shared" ref="I18:M18" si="14">1-I17</f>
        <v>1</v>
      </c>
      <c r="J18" s="109">
        <f t="shared" si="14"/>
        <v>1</v>
      </c>
      <c r="K18" s="109">
        <f t="shared" si="14"/>
        <v>1</v>
      </c>
      <c r="L18" s="109">
        <f t="shared" si="14"/>
        <v>1</v>
      </c>
      <c r="M18" s="109">
        <f t="shared" si="14"/>
        <v>1</v>
      </c>
    </row>
    <row r="19" spans="2:13" x14ac:dyDescent="0.25">
      <c r="B19" s="112" t="s">
        <v>187</v>
      </c>
      <c r="H19" s="27">
        <f>H16*H18</f>
        <v>652.9051769825553</v>
      </c>
      <c r="I19" s="27">
        <f t="shared" ref="I19:M19" si="15">I16*I18</f>
        <v>702.57868433833323</v>
      </c>
      <c r="J19" s="27">
        <f t="shared" si="15"/>
        <v>754.16803987866376</v>
      </c>
      <c r="K19" s="27">
        <f t="shared" si="15"/>
        <v>804.66528984241427</v>
      </c>
      <c r="L19" s="27">
        <f t="shared" si="15"/>
        <v>854.15260196307202</v>
      </c>
      <c r="M19" s="27">
        <f t="shared" si="15"/>
        <v>870.98315997916427</v>
      </c>
    </row>
    <row r="20" spans="2:13" x14ac:dyDescent="0.25">
      <c r="B20" s="111" t="s">
        <v>188</v>
      </c>
      <c r="H20" s="27">
        <f>H15</f>
        <v>606.36583534045872</v>
      </c>
      <c r="I20" s="27">
        <f t="shared" ref="I20:M20" si="16">I15</f>
        <v>575.58139316952543</v>
      </c>
      <c r="J20" s="27">
        <f t="shared" si="16"/>
        <v>546.35983898558345</v>
      </c>
      <c r="K20" s="27">
        <f t="shared" si="16"/>
        <v>518.62182690195664</v>
      </c>
      <c r="L20" s="27">
        <f t="shared" si="16"/>
        <v>492.29203932432563</v>
      </c>
      <c r="M20" s="27">
        <f t="shared" si="16"/>
        <v>492.29203932432563</v>
      </c>
    </row>
    <row r="21" spans="2:13" x14ac:dyDescent="0.25">
      <c r="B21" s="111" t="s">
        <v>189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</row>
    <row r="22" spans="2:13" ht="15" customHeight="1" x14ac:dyDescent="0.25">
      <c r="B22" s="111" t="s">
        <v>190</v>
      </c>
      <c r="H22" s="27">
        <v>0</v>
      </c>
      <c r="I22" s="27">
        <v>0</v>
      </c>
      <c r="J22" s="27">
        <v>1026</v>
      </c>
      <c r="K22" s="27">
        <v>1026</v>
      </c>
      <c r="L22" s="27">
        <v>0</v>
      </c>
      <c r="M22" s="27">
        <v>0</v>
      </c>
    </row>
    <row r="23" spans="2:13" x14ac:dyDescent="0.25">
      <c r="B23" s="113" t="s">
        <v>191</v>
      </c>
      <c r="H23" s="27">
        <f t="shared" ref="H23:I23" si="17">H19+H20-H21-H22</f>
        <v>1259.271012323014</v>
      </c>
      <c r="I23" s="27">
        <f t="shared" si="17"/>
        <v>1278.1600775078587</v>
      </c>
      <c r="J23" s="27">
        <f>J19+J20-J21-J22</f>
        <v>274.52787886424721</v>
      </c>
      <c r="K23" s="27">
        <f>K19+K20-K21-K22</f>
        <v>297.28711674437091</v>
      </c>
      <c r="L23" s="27">
        <f>L19+L20-L21-L22</f>
        <v>1346.4446412873976</v>
      </c>
      <c r="M23" s="27">
        <f>M19+M20-M21-M22</f>
        <v>1363.2751993034899</v>
      </c>
    </row>
    <row r="24" spans="2:13" x14ac:dyDescent="0.25">
      <c r="B24" s="112" t="s">
        <v>192</v>
      </c>
      <c r="H24" s="153">
        <f>'Discount Rate'!C7</f>
        <v>0.15250000000000002</v>
      </c>
      <c r="I24" s="154"/>
      <c r="J24" s="154"/>
      <c r="K24" s="154"/>
      <c r="L24" s="154"/>
      <c r="M24" s="155"/>
    </row>
    <row r="25" spans="2:13" x14ac:dyDescent="0.25">
      <c r="B25" s="112" t="s">
        <v>196</v>
      </c>
      <c r="H25" s="153">
        <v>1.2500000000000001E-2</v>
      </c>
      <c r="I25" s="154"/>
      <c r="J25" s="154"/>
      <c r="K25" s="154"/>
      <c r="L25" s="154"/>
      <c r="M25" s="155"/>
    </row>
    <row r="26" spans="2:13" ht="15.75" customHeight="1" x14ac:dyDescent="0.25">
      <c r="B26" s="114" t="s">
        <v>193</v>
      </c>
      <c r="H26" s="115">
        <f>3/12</f>
        <v>0.25</v>
      </c>
      <c r="I26" s="115">
        <f>H26+1</f>
        <v>1.25</v>
      </c>
      <c r="J26" s="115">
        <f t="shared" ref="J26:L26" si="18">I26+1</f>
        <v>2.25</v>
      </c>
      <c r="K26" s="115">
        <f t="shared" si="18"/>
        <v>3.25</v>
      </c>
      <c r="L26" s="115">
        <f t="shared" si="18"/>
        <v>4.25</v>
      </c>
      <c r="M26" s="95" t="s">
        <v>6</v>
      </c>
    </row>
    <row r="27" spans="2:13" ht="15.75" customHeight="1" x14ac:dyDescent="0.25">
      <c r="B27" s="111" t="s">
        <v>194</v>
      </c>
      <c r="C27" s="32"/>
      <c r="D27" s="32"/>
      <c r="E27" s="32"/>
      <c r="F27" s="32"/>
      <c r="G27" s="32"/>
      <c r="H27" s="27">
        <f>1/(1+$H$24)^H26</f>
        <v>0.96513878052083502</v>
      </c>
      <c r="I27" s="27">
        <f t="shared" ref="I27:L27" si="19">1/(1+$H$24)^I26</f>
        <v>0.83743061216558357</v>
      </c>
      <c r="J27" s="27">
        <f t="shared" si="19"/>
        <v>0.72662092161872749</v>
      </c>
      <c r="K27" s="27">
        <f t="shared" si="19"/>
        <v>0.63047368470171583</v>
      </c>
      <c r="L27" s="27">
        <f t="shared" si="19"/>
        <v>0.54704875028348443</v>
      </c>
      <c r="M27" s="95" t="s">
        <v>6</v>
      </c>
    </row>
    <row r="28" spans="2:13" x14ac:dyDescent="0.25">
      <c r="B28" s="32" t="s">
        <v>197</v>
      </c>
      <c r="L28" s="118">
        <f>M23/(H24-H25)</f>
        <v>9737.679995024926</v>
      </c>
      <c r="M28" s="95" t="s">
        <v>6</v>
      </c>
    </row>
    <row r="29" spans="2:13" x14ac:dyDescent="0.25">
      <c r="B29" s="116" t="s">
        <v>195</v>
      </c>
      <c r="C29" s="117"/>
      <c r="D29" s="117"/>
      <c r="E29" s="117"/>
      <c r="F29" s="117"/>
      <c r="G29" s="117"/>
      <c r="H29" s="53">
        <f>H23*H27</f>
        <v>1215.3712891786711</v>
      </c>
      <c r="I29" s="53">
        <f>I23*I27</f>
        <v>1070.3703761530157</v>
      </c>
      <c r="J29" s="53">
        <f>J23*J27</f>
        <v>199.47770035037368</v>
      </c>
      <c r="K29" s="53">
        <f>K23*K27</f>
        <v>187.43170390817269</v>
      </c>
      <c r="L29" s="53">
        <f>L23*L27</f>
        <v>736.57085834216537</v>
      </c>
      <c r="M29" s="95" t="s">
        <v>6</v>
      </c>
    </row>
    <row r="30" spans="2:13" x14ac:dyDescent="0.25">
      <c r="B30" s="112" t="s">
        <v>198</v>
      </c>
      <c r="L30" s="115">
        <f>L28*L27</f>
        <v>5326.9856719388727</v>
      </c>
      <c r="M30" s="95" t="s">
        <v>6</v>
      </c>
    </row>
    <row r="31" spans="2:13" x14ac:dyDescent="0.25">
      <c r="B31" s="112" t="s">
        <v>199</v>
      </c>
      <c r="C31" s="32"/>
      <c r="D31" s="32"/>
      <c r="E31" s="32"/>
      <c r="F31" s="32"/>
      <c r="G31" s="32"/>
      <c r="H31" s="27">
        <f>H29+H30</f>
        <v>1215.3712891786711</v>
      </c>
      <c r="I31" s="27">
        <f t="shared" ref="I31:L31" si="20">I29+I30</f>
        <v>1070.3703761530157</v>
      </c>
      <c r="J31" s="27">
        <f t="shared" si="20"/>
        <v>199.47770035037368</v>
      </c>
      <c r="K31" s="27">
        <f t="shared" si="20"/>
        <v>187.43170390817269</v>
      </c>
      <c r="L31" s="27">
        <f t="shared" si="20"/>
        <v>6063.5565302810382</v>
      </c>
      <c r="M31" s="95" t="s">
        <v>6</v>
      </c>
    </row>
    <row r="32" spans="2:13" x14ac:dyDescent="0.25">
      <c r="B32" s="120" t="s">
        <v>200</v>
      </c>
      <c r="C32" s="81"/>
      <c r="D32" s="81"/>
      <c r="E32" s="81"/>
      <c r="F32" s="81"/>
      <c r="G32" s="81"/>
      <c r="H32" s="133">
        <f>SUM(H31:L31)</f>
        <v>8736.2075998712717</v>
      </c>
      <c r="I32" s="131" t="s">
        <v>215</v>
      </c>
      <c r="J32" s="131"/>
      <c r="K32" s="131"/>
      <c r="L32" s="132"/>
      <c r="M32" s="145"/>
    </row>
    <row r="37" spans="10:10" x14ac:dyDescent="0.25">
      <c r="J37" s="102"/>
    </row>
  </sheetData>
  <mergeCells count="4">
    <mergeCell ref="B4:G4"/>
    <mergeCell ref="B2:M2"/>
    <mergeCell ref="H24:M24"/>
    <mergeCell ref="H25:M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50BF2-F2B6-4320-B86B-5536C1B2B907}">
  <sheetPr>
    <tabColor theme="7" tint="0.59999389629810485"/>
  </sheetPr>
  <dimension ref="A1:V37"/>
  <sheetViews>
    <sheetView showGridLines="0" topLeftCell="A10" workbookViewId="0">
      <selection activeCell="H38" sqref="H38"/>
    </sheetView>
  </sheetViews>
  <sheetFormatPr defaultRowHeight="15" x14ac:dyDescent="0.25"/>
  <cols>
    <col min="1" max="1" width="5.42578125" customWidth="1"/>
    <col min="2" max="2" width="40.140625" customWidth="1"/>
    <col min="3" max="7" width="9.28515625" hidden="1" customWidth="1"/>
    <col min="8" max="8" width="12.140625" customWidth="1"/>
    <col min="9" max="12" width="12.5703125" bestFit="1" customWidth="1"/>
    <col min="13" max="13" width="10.42578125" customWidth="1"/>
    <col min="15" max="15" width="0" hidden="1" customWidth="1"/>
    <col min="16" max="16" width="28.140625" customWidth="1"/>
  </cols>
  <sheetData>
    <row r="1" spans="1:22" x14ac:dyDescent="0.25">
      <c r="A1" s="2"/>
      <c r="B1" s="2"/>
      <c r="C1" s="2"/>
      <c r="D1" s="2"/>
      <c r="E1" s="2"/>
      <c r="F1" s="2"/>
      <c r="G1" s="2"/>
    </row>
    <row r="2" spans="1:22" x14ac:dyDescent="0.25">
      <c r="A2" s="2"/>
      <c r="B2" s="1" t="s">
        <v>99</v>
      </c>
      <c r="C2" s="1"/>
      <c r="D2" s="1"/>
      <c r="E2" s="1"/>
      <c r="F2" s="1"/>
      <c r="G2" s="1"/>
    </row>
    <row r="3" spans="1:22" x14ac:dyDescent="0.25">
      <c r="A3" s="2"/>
      <c r="B3" s="2"/>
      <c r="C3" s="2"/>
      <c r="D3" s="2"/>
      <c r="E3" s="2"/>
      <c r="F3" s="2"/>
      <c r="G3" s="2"/>
    </row>
    <row r="4" spans="1:22" x14ac:dyDescent="0.25">
      <c r="A4" s="2"/>
      <c r="B4" s="149" t="s">
        <v>107</v>
      </c>
      <c r="C4" s="149"/>
      <c r="D4" s="149"/>
      <c r="E4" s="149"/>
      <c r="F4" s="149"/>
      <c r="G4" s="149"/>
    </row>
    <row r="5" spans="1:22" x14ac:dyDescent="0.25">
      <c r="A5" s="2"/>
      <c r="B5" s="2"/>
      <c r="C5" s="2"/>
      <c r="D5" s="2"/>
      <c r="E5" s="2"/>
      <c r="F5" s="2"/>
      <c r="G5" s="2"/>
      <c r="H5" s="123">
        <v>0.03</v>
      </c>
      <c r="I5" s="123">
        <v>0.03</v>
      </c>
      <c r="J5" s="123">
        <v>3.2500000000000001E-2</v>
      </c>
      <c r="K5" s="123">
        <v>3.2500000000000001E-2</v>
      </c>
      <c r="L5" s="123">
        <v>3.2500000000000001E-2</v>
      </c>
    </row>
    <row r="6" spans="1:22" ht="18" customHeight="1" x14ac:dyDescent="0.25">
      <c r="B6" s="3" t="s">
        <v>41</v>
      </c>
      <c r="C6" s="51">
        <v>2018</v>
      </c>
      <c r="D6" s="51">
        <f>C6+1</f>
        <v>2019</v>
      </c>
      <c r="E6" s="51">
        <f t="shared" ref="E6:G6" si="0">D6+1</f>
        <v>2020</v>
      </c>
      <c r="F6" s="51">
        <f t="shared" si="0"/>
        <v>2021</v>
      </c>
      <c r="G6" s="52">
        <f t="shared" si="0"/>
        <v>2022</v>
      </c>
      <c r="H6" s="52">
        <f t="shared" ref="H6" si="1">G6+1</f>
        <v>2023</v>
      </c>
      <c r="I6" s="52">
        <f t="shared" ref="I6" si="2">H6+1</f>
        <v>2024</v>
      </c>
      <c r="J6" s="52">
        <f t="shared" ref="J6" si="3">I6+1</f>
        <v>2025</v>
      </c>
      <c r="K6" s="52">
        <f t="shared" ref="K6" si="4">J6+1</f>
        <v>2026</v>
      </c>
      <c r="L6" s="52">
        <f t="shared" ref="L6" si="5">K6+1</f>
        <v>2027</v>
      </c>
      <c r="M6" s="52" t="s">
        <v>201</v>
      </c>
    </row>
    <row r="7" spans="1:22" x14ac:dyDescent="0.25">
      <c r="B7" s="15" t="s">
        <v>123</v>
      </c>
      <c r="C7" s="9">
        <v>2746.73</v>
      </c>
      <c r="D7" s="9">
        <v>3674.45</v>
      </c>
      <c r="E7" s="27">
        <v>4427.0600000000004</v>
      </c>
      <c r="F7" s="27">
        <v>4275.6899999999996</v>
      </c>
      <c r="G7" s="27">
        <v>4192.55</v>
      </c>
      <c r="H7" s="27">
        <f>G7*(1+H5)</f>
        <v>4318.3265000000001</v>
      </c>
      <c r="I7" s="27">
        <f t="shared" ref="I7:L7" si="6">H7*(1+I5)</f>
        <v>4447.876295</v>
      </c>
      <c r="J7" s="27">
        <f t="shared" si="6"/>
        <v>4592.4322745874997</v>
      </c>
      <c r="K7" s="27">
        <f t="shared" si="6"/>
        <v>4741.6863235115934</v>
      </c>
      <c r="L7" s="27">
        <f t="shared" si="6"/>
        <v>4895.7911290257198</v>
      </c>
      <c r="M7" s="27">
        <f>L7*(1+H25)</f>
        <v>4956.9885181385407</v>
      </c>
      <c r="P7" s="58" t="s">
        <v>41</v>
      </c>
      <c r="Q7" s="59">
        <v>2018</v>
      </c>
      <c r="R7" s="59">
        <f>Q7+1</f>
        <v>2019</v>
      </c>
      <c r="S7" s="59">
        <f t="shared" ref="S7:U7" si="7">R7+1</f>
        <v>2020</v>
      </c>
      <c r="T7" s="59">
        <f t="shared" si="7"/>
        <v>2021</v>
      </c>
      <c r="U7" s="60">
        <f t="shared" si="7"/>
        <v>2022</v>
      </c>
      <c r="V7" s="60" t="s">
        <v>146</v>
      </c>
    </row>
    <row r="8" spans="1:22" x14ac:dyDescent="0.25">
      <c r="B8" s="44" t="s">
        <v>125</v>
      </c>
      <c r="C8" s="14">
        <f t="shared" ref="C8:M8" si="8">SUM(C7:C7)</f>
        <v>2746.73</v>
      </c>
      <c r="D8" s="14">
        <f t="shared" si="8"/>
        <v>3674.45</v>
      </c>
      <c r="E8" s="36">
        <f t="shared" si="8"/>
        <v>4427.0600000000004</v>
      </c>
      <c r="F8" s="36">
        <f t="shared" si="8"/>
        <v>4275.6899999999996</v>
      </c>
      <c r="G8" s="36">
        <f t="shared" si="8"/>
        <v>4192.55</v>
      </c>
      <c r="H8" s="36">
        <f t="shared" si="8"/>
        <v>4318.3265000000001</v>
      </c>
      <c r="I8" s="36">
        <f t="shared" si="8"/>
        <v>4447.876295</v>
      </c>
      <c r="J8" s="36">
        <f t="shared" si="8"/>
        <v>4592.4322745874997</v>
      </c>
      <c r="K8" s="36">
        <f t="shared" si="8"/>
        <v>4741.6863235115934</v>
      </c>
      <c r="L8" s="36">
        <f t="shared" si="8"/>
        <v>4895.7911290257198</v>
      </c>
      <c r="M8" s="36">
        <f t="shared" si="8"/>
        <v>4956.9885181385407</v>
      </c>
      <c r="P8" s="32" t="s">
        <v>128</v>
      </c>
      <c r="Q8" s="61">
        <f>C10/C$7</f>
        <v>0.63896706265268155</v>
      </c>
      <c r="R8" s="61">
        <f t="shared" ref="R8:U8" si="9">D10/D$7</f>
        <v>0.46975193566384082</v>
      </c>
      <c r="S8" s="61">
        <f t="shared" si="9"/>
        <v>0.63260493420012376</v>
      </c>
      <c r="T8" s="61">
        <f t="shared" si="9"/>
        <v>0.49314379667375335</v>
      </c>
      <c r="U8" s="61">
        <f t="shared" si="9"/>
        <v>0.48004436440829562</v>
      </c>
      <c r="V8" s="61">
        <f>AVERAGE(Q8:U8)</f>
        <v>0.54290241871973899</v>
      </c>
    </row>
    <row r="9" spans="1:22" ht="15.75" customHeight="1" x14ac:dyDescent="0.25">
      <c r="B9" s="16" t="s">
        <v>126</v>
      </c>
      <c r="C9" s="9"/>
      <c r="D9" s="105">
        <f>D8/C8-1</f>
        <v>0.33775434789731773</v>
      </c>
      <c r="E9" s="105">
        <f t="shared" ref="E9:G9" si="10">E8/D8-1</f>
        <v>0.2048224904407463</v>
      </c>
      <c r="F9" s="105">
        <f t="shared" si="10"/>
        <v>-3.4191991976616709E-2</v>
      </c>
      <c r="G9" s="105">
        <f t="shared" si="10"/>
        <v>-1.9444814755045225E-2</v>
      </c>
      <c r="H9" s="27"/>
      <c r="I9" s="27"/>
      <c r="J9" s="27"/>
      <c r="K9" s="27"/>
      <c r="L9" s="27"/>
      <c r="M9" s="27"/>
      <c r="P9" s="62" t="s">
        <v>19</v>
      </c>
      <c r="Q9" s="61">
        <f t="shared" ref="Q9" si="11">C11/C$7</f>
        <v>2.0358753863685183E-2</v>
      </c>
      <c r="R9" s="61">
        <f t="shared" ref="R9" si="12">D11/D$7</f>
        <v>2.1178679802419408E-2</v>
      </c>
      <c r="S9" s="61">
        <f t="shared" ref="S9" si="13">E11/E$7</f>
        <v>1.4777301414482748E-2</v>
      </c>
      <c r="T9" s="61">
        <f t="shared" ref="T9" si="14">F11/F$7</f>
        <v>1.7840395351393579E-2</v>
      </c>
      <c r="U9" s="61">
        <f t="shared" ref="U9" si="15">G11/G$7</f>
        <v>1.8997984520160761E-2</v>
      </c>
      <c r="V9" s="61">
        <f t="shared" ref="V9" si="16">AVERAGE(Q9:U9)</f>
        <v>1.8630622990428333E-2</v>
      </c>
    </row>
    <row r="10" spans="1:22" ht="17.25" customHeight="1" x14ac:dyDescent="0.25">
      <c r="B10" s="50" t="s">
        <v>18</v>
      </c>
      <c r="C10" s="9">
        <v>1755.07</v>
      </c>
      <c r="D10" s="9">
        <v>1726.08</v>
      </c>
      <c r="E10" s="27">
        <v>2800.58</v>
      </c>
      <c r="F10" s="27">
        <v>2108.5300000000002</v>
      </c>
      <c r="G10" s="27">
        <v>2012.61</v>
      </c>
      <c r="H10" s="27">
        <f>H8*$V$8</f>
        <v>2344.4299016715449</v>
      </c>
      <c r="I10" s="27">
        <f t="shared" ref="I10:L10" si="17">I8*$V$8</f>
        <v>2414.7627987216915</v>
      </c>
      <c r="J10" s="27">
        <f t="shared" si="17"/>
        <v>2493.242589680146</v>
      </c>
      <c r="K10" s="27">
        <f t="shared" si="17"/>
        <v>2574.272973844751</v>
      </c>
      <c r="L10" s="27">
        <f t="shared" si="17"/>
        <v>2657.9368454947048</v>
      </c>
      <c r="M10" s="27">
        <f t="shared" ref="M10" si="18">M8*$V$8</f>
        <v>2691.1610560633885</v>
      </c>
      <c r="P10" s="62" t="s">
        <v>208</v>
      </c>
      <c r="Q10" s="61">
        <f>'P&amp;L'!J19</f>
        <v>0.13240835466172504</v>
      </c>
      <c r="R10" s="61">
        <f>'P&amp;L'!K19</f>
        <v>0.51105335492386617</v>
      </c>
      <c r="S10" s="61">
        <f>'P&amp;L'!L19</f>
        <v>0.13213735526511949</v>
      </c>
      <c r="T10" s="61">
        <f>'P&amp;L'!M19</f>
        <v>0.13100575579614054</v>
      </c>
      <c r="U10" s="61">
        <f>'P&amp;L'!N19</f>
        <v>0.16449654744725761</v>
      </c>
      <c r="V10" s="61">
        <f>AVERAGE(S10:U10)</f>
        <v>0.14254655283617254</v>
      </c>
    </row>
    <row r="11" spans="1:22" ht="16.5" customHeight="1" x14ac:dyDescent="0.25">
      <c r="B11" s="47" t="s">
        <v>19</v>
      </c>
      <c r="C11" s="9">
        <v>55.92</v>
      </c>
      <c r="D11" s="9">
        <v>77.819999999999993</v>
      </c>
      <c r="E11" s="27">
        <v>65.42</v>
      </c>
      <c r="F11" s="27">
        <v>76.28</v>
      </c>
      <c r="G11" s="27">
        <v>79.650000000000006</v>
      </c>
      <c r="H11" s="27">
        <f>H8*$V$9</f>
        <v>80.45311297107591</v>
      </c>
      <c r="I11" s="27">
        <f t="shared" ref="I11:L11" si="19">I8*$V$9</f>
        <v>82.866706360208198</v>
      </c>
      <c r="J11" s="27">
        <f t="shared" si="19"/>
        <v>85.559874316914957</v>
      </c>
      <c r="K11" s="27">
        <f t="shared" si="19"/>
        <v>88.340570232214688</v>
      </c>
      <c r="L11" s="27">
        <f t="shared" si="19"/>
        <v>91.211638764761659</v>
      </c>
      <c r="M11" s="27">
        <f t="shared" ref="M11" si="20">M8*$V$9</f>
        <v>92.35178424932117</v>
      </c>
    </row>
    <row r="12" spans="1:22" ht="15.75" customHeight="1" x14ac:dyDescent="0.25">
      <c r="B12" s="50" t="s">
        <v>21</v>
      </c>
      <c r="C12" s="9">
        <v>363.69</v>
      </c>
      <c r="D12" s="9">
        <v>1877.84</v>
      </c>
      <c r="E12" s="27">
        <v>1516.57</v>
      </c>
      <c r="F12" s="27">
        <v>1358.41</v>
      </c>
      <c r="G12" s="27">
        <v>689.66</v>
      </c>
      <c r="H12" s="27">
        <f t="shared" ref="H12:M12" si="21">H8*$V$10</f>
        <v>615.56255659609405</v>
      </c>
      <c r="I12" s="27">
        <f t="shared" si="21"/>
        <v>634.02943329397692</v>
      </c>
      <c r="J12" s="27">
        <f t="shared" si="21"/>
        <v>654.63538987603101</v>
      </c>
      <c r="K12" s="27">
        <f t="shared" si="21"/>
        <v>675.91104004700207</v>
      </c>
      <c r="L12" s="27">
        <f t="shared" si="21"/>
        <v>697.87814884852958</v>
      </c>
      <c r="M12" s="27">
        <f t="shared" si="21"/>
        <v>706.6016257091361</v>
      </c>
    </row>
    <row r="13" spans="1:22" x14ac:dyDescent="0.25">
      <c r="B13" s="44" t="s">
        <v>23</v>
      </c>
      <c r="C13" s="14">
        <f>SUM(C10:C12)</f>
        <v>2174.6799999999998</v>
      </c>
      <c r="D13" s="14">
        <f t="shared" ref="D13:G13" si="22">SUM(D10:D12)</f>
        <v>3681.74</v>
      </c>
      <c r="E13" s="14">
        <f t="shared" si="22"/>
        <v>4382.57</v>
      </c>
      <c r="F13" s="14">
        <f t="shared" si="22"/>
        <v>3543.2200000000003</v>
      </c>
      <c r="G13" s="53">
        <f t="shared" si="22"/>
        <v>2781.9199999999996</v>
      </c>
      <c r="H13" s="53">
        <f t="shared" ref="H13:L13" si="23">SUM(H10:H12)</f>
        <v>3040.4455712387148</v>
      </c>
      <c r="I13" s="53">
        <f t="shared" si="23"/>
        <v>3131.6589383758769</v>
      </c>
      <c r="J13" s="53">
        <f t="shared" si="23"/>
        <v>3233.4378538730916</v>
      </c>
      <c r="K13" s="53">
        <f t="shared" si="23"/>
        <v>3338.524584123968</v>
      </c>
      <c r="L13" s="53">
        <f t="shared" si="23"/>
        <v>3447.0266331079961</v>
      </c>
      <c r="M13" s="53">
        <f t="shared" ref="M13" si="24">SUM(M10:M12)</f>
        <v>3490.1144660218456</v>
      </c>
      <c r="P13">
        <v>1800</v>
      </c>
    </row>
    <row r="14" spans="1:22" x14ac:dyDescent="0.25">
      <c r="B14" s="44" t="s">
        <v>121</v>
      </c>
      <c r="C14" s="14">
        <f>C8-C13</f>
        <v>572.05000000000018</v>
      </c>
      <c r="D14" s="14">
        <f>D8-D13</f>
        <v>-7.2899999999999636</v>
      </c>
      <c r="E14" s="14">
        <f>E8-E13</f>
        <v>44.490000000000691</v>
      </c>
      <c r="F14" s="14">
        <f>F8-F13</f>
        <v>732.46999999999935</v>
      </c>
      <c r="G14" s="53">
        <f>G8-G13</f>
        <v>1410.6300000000006</v>
      </c>
      <c r="H14" s="53">
        <f t="shared" ref="H14:M14" si="25">H8-H13</f>
        <v>1277.8809287612853</v>
      </c>
      <c r="I14" s="53">
        <f t="shared" si="25"/>
        <v>1316.2173566241231</v>
      </c>
      <c r="J14" s="53">
        <f t="shared" si="25"/>
        <v>1358.9944207144081</v>
      </c>
      <c r="K14" s="53">
        <f t="shared" si="25"/>
        <v>1403.1617393876254</v>
      </c>
      <c r="L14" s="53">
        <f t="shared" si="25"/>
        <v>1448.7644959177237</v>
      </c>
      <c r="M14" s="53">
        <f t="shared" si="25"/>
        <v>1466.8740521166951</v>
      </c>
      <c r="P14">
        <v>1.1399999999999999</v>
      </c>
    </row>
    <row r="15" spans="1:22" x14ac:dyDescent="0.25">
      <c r="B15" s="64" t="s">
        <v>22</v>
      </c>
      <c r="C15" s="9">
        <v>518.82000000000005</v>
      </c>
      <c r="D15" s="9">
        <v>697.91</v>
      </c>
      <c r="E15" s="27">
        <v>695.21</v>
      </c>
      <c r="F15" s="27">
        <v>679.41</v>
      </c>
      <c r="G15" s="27">
        <v>672.38</v>
      </c>
      <c r="H15" s="27">
        <f>Sheet3!C6</f>
        <v>606.36583534045872</v>
      </c>
      <c r="I15" s="27">
        <f>Sheet3!D6</f>
        <v>575.58139316952543</v>
      </c>
      <c r="J15" s="27">
        <f>Sheet3!E6</f>
        <v>546.35983898558345</v>
      </c>
      <c r="K15" s="27">
        <f>Sheet3!F6</f>
        <v>518.62182690195664</v>
      </c>
      <c r="L15" s="27">
        <f>Sheet3!G6</f>
        <v>492.29203932432563</v>
      </c>
      <c r="M15" s="27">
        <f>L15</f>
        <v>492.29203932432563</v>
      </c>
      <c r="P15">
        <f>P13*P14</f>
        <v>2052</v>
      </c>
      <c r="Q15">
        <f>P15/2</f>
        <v>1026</v>
      </c>
    </row>
    <row r="16" spans="1:22" x14ac:dyDescent="0.25">
      <c r="B16" s="110" t="s">
        <v>122</v>
      </c>
      <c r="C16" s="14">
        <f>C14-C15</f>
        <v>53.230000000000132</v>
      </c>
      <c r="D16" s="14">
        <f t="shared" ref="D16:L16" si="26">D14-D15</f>
        <v>-705.19999999999993</v>
      </c>
      <c r="E16" s="14">
        <f t="shared" si="26"/>
        <v>-650.71999999999935</v>
      </c>
      <c r="F16" s="14">
        <f t="shared" si="26"/>
        <v>53.059999999999377</v>
      </c>
      <c r="G16" s="53">
        <f t="shared" si="26"/>
        <v>738.25000000000057</v>
      </c>
      <c r="H16" s="107">
        <f t="shared" si="26"/>
        <v>671.51509342082659</v>
      </c>
      <c r="I16" s="107">
        <f t="shared" si="26"/>
        <v>740.63596345459769</v>
      </c>
      <c r="J16" s="107">
        <f t="shared" si="26"/>
        <v>812.63458172882463</v>
      </c>
      <c r="K16" s="107">
        <f t="shared" si="26"/>
        <v>884.53991248566876</v>
      </c>
      <c r="L16" s="107">
        <f t="shared" si="26"/>
        <v>956.47245659339808</v>
      </c>
      <c r="M16" s="107">
        <f t="shared" ref="M16" si="27">M14-M15</f>
        <v>974.58201279236948</v>
      </c>
    </row>
    <row r="17" spans="2:16" x14ac:dyDescent="0.25">
      <c r="B17" s="111" t="s">
        <v>185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P17" s="143"/>
    </row>
    <row r="18" spans="2:16" x14ac:dyDescent="0.25">
      <c r="B18" s="111" t="s">
        <v>186</v>
      </c>
      <c r="H18" s="109">
        <f>1-H17</f>
        <v>1</v>
      </c>
      <c r="I18" s="109">
        <f t="shared" ref="I18:M18" si="28">1-I17</f>
        <v>1</v>
      </c>
      <c r="J18" s="109">
        <f t="shared" si="28"/>
        <v>1</v>
      </c>
      <c r="K18" s="109">
        <f t="shared" si="28"/>
        <v>1</v>
      </c>
      <c r="L18" s="109">
        <f t="shared" si="28"/>
        <v>1</v>
      </c>
      <c r="M18" s="109">
        <f t="shared" si="28"/>
        <v>1</v>
      </c>
    </row>
    <row r="19" spans="2:16" x14ac:dyDescent="0.25">
      <c r="B19" s="112" t="s">
        <v>187</v>
      </c>
      <c r="H19" s="27">
        <f>H16*H18</f>
        <v>671.51509342082659</v>
      </c>
      <c r="I19" s="27">
        <f t="shared" ref="I19:M19" si="29">I16*I18</f>
        <v>740.63596345459769</v>
      </c>
      <c r="J19" s="27">
        <f t="shared" si="29"/>
        <v>812.63458172882463</v>
      </c>
      <c r="K19" s="27">
        <f t="shared" si="29"/>
        <v>884.53991248566876</v>
      </c>
      <c r="L19" s="27">
        <f t="shared" si="29"/>
        <v>956.47245659339808</v>
      </c>
      <c r="M19" s="27">
        <f t="shared" si="29"/>
        <v>974.58201279236948</v>
      </c>
    </row>
    <row r="20" spans="2:16" x14ac:dyDescent="0.25">
      <c r="B20" s="111" t="s">
        <v>188</v>
      </c>
      <c r="H20" s="27">
        <f>H15</f>
        <v>606.36583534045872</v>
      </c>
      <c r="I20" s="27">
        <f t="shared" ref="I20:L20" si="30">I15</f>
        <v>575.58139316952543</v>
      </c>
      <c r="J20" s="27">
        <f t="shared" si="30"/>
        <v>546.35983898558345</v>
      </c>
      <c r="K20" s="27">
        <f t="shared" si="30"/>
        <v>518.62182690195664</v>
      </c>
      <c r="L20" s="27">
        <f t="shared" si="30"/>
        <v>492.29203932432563</v>
      </c>
      <c r="M20" s="27">
        <f t="shared" ref="M20" si="31">M15</f>
        <v>492.29203932432563</v>
      </c>
    </row>
    <row r="21" spans="2:16" x14ac:dyDescent="0.25">
      <c r="B21" s="111" t="s">
        <v>189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</row>
    <row r="22" spans="2:16" ht="15" customHeight="1" x14ac:dyDescent="0.25">
      <c r="B22" s="111" t="s">
        <v>190</v>
      </c>
      <c r="H22" s="27">
        <v>0</v>
      </c>
      <c r="I22" s="27">
        <v>0</v>
      </c>
      <c r="J22" s="27">
        <v>1026</v>
      </c>
      <c r="K22" s="27">
        <v>1026</v>
      </c>
      <c r="L22" s="27">
        <v>0</v>
      </c>
      <c r="M22" s="27">
        <v>0</v>
      </c>
    </row>
    <row r="23" spans="2:16" x14ac:dyDescent="0.25">
      <c r="B23" s="113" t="s">
        <v>191</v>
      </c>
      <c r="H23" s="27">
        <f t="shared" ref="H23:I23" si="32">H19+H20-H21-H22</f>
        <v>1277.8809287612853</v>
      </c>
      <c r="I23" s="27">
        <f t="shared" si="32"/>
        <v>1316.2173566241231</v>
      </c>
      <c r="J23" s="27">
        <f>J19+J20-J21-J22</f>
        <v>332.99442071440808</v>
      </c>
      <c r="K23" s="27">
        <f t="shared" ref="K23:M23" si="33">K19+K20-K21-K22</f>
        <v>377.1617393876254</v>
      </c>
      <c r="L23" s="27">
        <f t="shared" si="33"/>
        <v>1448.7644959177237</v>
      </c>
      <c r="M23" s="27">
        <f t="shared" si="33"/>
        <v>1466.8740521166951</v>
      </c>
    </row>
    <row r="24" spans="2:16" x14ac:dyDescent="0.25">
      <c r="B24" s="112" t="s">
        <v>192</v>
      </c>
      <c r="H24" s="153">
        <f>'Discount Rate'!C7</f>
        <v>0.15250000000000002</v>
      </c>
      <c r="I24" s="154"/>
      <c r="J24" s="154"/>
      <c r="K24" s="154"/>
      <c r="L24" s="154"/>
      <c r="M24" s="155"/>
    </row>
    <row r="25" spans="2:16" x14ac:dyDescent="0.25">
      <c r="B25" s="112" t="s">
        <v>196</v>
      </c>
      <c r="H25" s="153">
        <v>1.2500000000000001E-2</v>
      </c>
      <c r="I25" s="154"/>
      <c r="J25" s="154"/>
      <c r="K25" s="154"/>
      <c r="L25" s="154"/>
      <c r="M25" s="155"/>
    </row>
    <row r="26" spans="2:16" ht="15.75" customHeight="1" x14ac:dyDescent="0.25">
      <c r="B26" s="114" t="s">
        <v>193</v>
      </c>
      <c r="H26" s="115">
        <f>3/12</f>
        <v>0.25</v>
      </c>
      <c r="I26" s="115">
        <f>H26+1</f>
        <v>1.25</v>
      </c>
      <c r="J26" s="115">
        <f t="shared" ref="J26:L26" si="34">I26+1</f>
        <v>2.25</v>
      </c>
      <c r="K26" s="115">
        <f t="shared" si="34"/>
        <v>3.25</v>
      </c>
      <c r="L26" s="115">
        <f t="shared" si="34"/>
        <v>4.25</v>
      </c>
      <c r="M26" s="95" t="s">
        <v>6</v>
      </c>
    </row>
    <row r="27" spans="2:16" ht="15.75" customHeight="1" x14ac:dyDescent="0.25">
      <c r="B27" s="111" t="s">
        <v>194</v>
      </c>
      <c r="C27" s="32"/>
      <c r="D27" s="32"/>
      <c r="E27" s="32"/>
      <c r="F27" s="32"/>
      <c r="G27" s="32"/>
      <c r="H27" s="27">
        <f>1/(1+$H$24)^H26</f>
        <v>0.96513878052083502</v>
      </c>
      <c r="I27" s="27">
        <f t="shared" ref="I27:L27" si="35">1/(1+$H$24)^I26</f>
        <v>0.83743061216558357</v>
      </c>
      <c r="J27" s="27">
        <f t="shared" si="35"/>
        <v>0.72662092161872749</v>
      </c>
      <c r="K27" s="27">
        <f t="shared" si="35"/>
        <v>0.63047368470171583</v>
      </c>
      <c r="L27" s="27">
        <f t="shared" si="35"/>
        <v>0.54704875028348443</v>
      </c>
      <c r="M27" s="95" t="s">
        <v>6</v>
      </c>
    </row>
    <row r="28" spans="2:16" x14ac:dyDescent="0.25">
      <c r="B28" s="32" t="s">
        <v>197</v>
      </c>
      <c r="L28" s="118">
        <f>M23/(H24-H25)</f>
        <v>10477.671800833536</v>
      </c>
      <c r="M28" s="95" t="s">
        <v>6</v>
      </c>
    </row>
    <row r="29" spans="2:16" x14ac:dyDescent="0.25">
      <c r="B29" s="116" t="s">
        <v>195</v>
      </c>
      <c r="C29" s="117"/>
      <c r="D29" s="117"/>
      <c r="E29" s="117"/>
      <c r="F29" s="117"/>
      <c r="G29" s="117"/>
      <c r="H29" s="53">
        <f>H23*H27</f>
        <v>1233.3324412354989</v>
      </c>
      <c r="I29" s="53">
        <f>I23*I27</f>
        <v>1102.2407067007057</v>
      </c>
      <c r="J29" s="53">
        <f>J23*J27</f>
        <v>241.96071287339748</v>
      </c>
      <c r="K29" s="53">
        <f>K23*K27</f>
        <v>237.79055156022446</v>
      </c>
      <c r="L29" s="53">
        <f>L23*L27</f>
        <v>792.544806946873</v>
      </c>
      <c r="M29" s="95" t="s">
        <v>6</v>
      </c>
    </row>
    <row r="30" spans="2:16" x14ac:dyDescent="0.25">
      <c r="B30" s="112" t="s">
        <v>198</v>
      </c>
      <c r="L30" s="115">
        <f>L28*L27</f>
        <v>5731.7972645264917</v>
      </c>
      <c r="M30" s="95" t="s">
        <v>6</v>
      </c>
    </row>
    <row r="31" spans="2:16" x14ac:dyDescent="0.25">
      <c r="B31" s="112" t="s">
        <v>199</v>
      </c>
      <c r="C31" s="32"/>
      <c r="D31" s="32"/>
      <c r="E31" s="32"/>
      <c r="F31" s="32"/>
      <c r="G31" s="32"/>
      <c r="H31" s="27">
        <f>H29+H30</f>
        <v>1233.3324412354989</v>
      </c>
      <c r="I31" s="27">
        <f t="shared" ref="I31:L31" si="36">I29+I30</f>
        <v>1102.2407067007057</v>
      </c>
      <c r="J31" s="27">
        <f t="shared" si="36"/>
        <v>241.96071287339748</v>
      </c>
      <c r="K31" s="27">
        <f t="shared" si="36"/>
        <v>237.79055156022446</v>
      </c>
      <c r="L31" s="27">
        <f t="shared" si="36"/>
        <v>6524.3420714733647</v>
      </c>
      <c r="M31" s="95" t="s">
        <v>6</v>
      </c>
    </row>
    <row r="32" spans="2:16" x14ac:dyDescent="0.25">
      <c r="B32" s="120" t="s">
        <v>200</v>
      </c>
      <c r="C32" s="81"/>
      <c r="D32" s="81"/>
      <c r="E32" s="81"/>
      <c r="F32" s="81"/>
      <c r="G32" s="81"/>
      <c r="H32" s="133">
        <f>SUM(H31:L31)</f>
        <v>9339.6664838431916</v>
      </c>
      <c r="I32" s="131" t="s">
        <v>215</v>
      </c>
      <c r="J32" s="131"/>
      <c r="K32" s="131"/>
      <c r="L32" s="132"/>
      <c r="M32" s="146"/>
    </row>
    <row r="37" spans="10:10" x14ac:dyDescent="0.25">
      <c r="J37" s="102"/>
    </row>
  </sheetData>
  <mergeCells count="3">
    <mergeCell ref="B4:G4"/>
    <mergeCell ref="H24:M24"/>
    <mergeCell ref="H25:M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3D74C-DD87-4670-B0B5-480CD4E9ACA0}">
  <sheetPr>
    <tabColor theme="9" tint="0.39997558519241921"/>
  </sheetPr>
  <dimension ref="A3:M25"/>
  <sheetViews>
    <sheetView showGridLines="0" tabSelected="1" workbookViewId="0">
      <selection activeCell="C7" sqref="C7"/>
    </sheetView>
  </sheetViews>
  <sheetFormatPr defaultRowHeight="15" x14ac:dyDescent="0.25"/>
  <cols>
    <col min="2" max="2" width="33" customWidth="1"/>
    <col min="3" max="3" width="15.140625" customWidth="1"/>
    <col min="7" max="7" width="11.140625" bestFit="1" customWidth="1"/>
    <col min="8" max="9" width="10.5703125" bestFit="1" customWidth="1"/>
    <col min="10" max="10" width="11.5703125" bestFit="1" customWidth="1"/>
  </cols>
  <sheetData>
    <row r="3" spans="1:13" x14ac:dyDescent="0.25">
      <c r="B3" s="1" t="s">
        <v>99</v>
      </c>
      <c r="C3" s="1"/>
    </row>
    <row r="4" spans="1:13" x14ac:dyDescent="0.25">
      <c r="G4" s="156" t="s">
        <v>182</v>
      </c>
      <c r="H4" s="156"/>
      <c r="I4" s="156"/>
      <c r="J4" s="156"/>
    </row>
    <row r="5" spans="1:13" ht="31.5" customHeight="1" x14ac:dyDescent="0.25">
      <c r="A5" s="67" t="s">
        <v>210</v>
      </c>
      <c r="B5" s="127" t="s">
        <v>209</v>
      </c>
      <c r="C5" s="123">
        <v>0.14000000000000001</v>
      </c>
      <c r="G5" s="157" t="s">
        <v>213</v>
      </c>
      <c r="H5" s="158" t="s">
        <v>214</v>
      </c>
      <c r="I5" s="158"/>
      <c r="J5" s="158"/>
    </row>
    <row r="6" spans="1:13" x14ac:dyDescent="0.25">
      <c r="B6" t="s">
        <v>211</v>
      </c>
      <c r="C6" s="123">
        <v>1.2500000000000001E-2</v>
      </c>
      <c r="G6" s="157"/>
      <c r="H6" s="129" t="s">
        <v>233</v>
      </c>
      <c r="I6" s="129" t="s">
        <v>234</v>
      </c>
      <c r="J6" s="129" t="s">
        <v>235</v>
      </c>
    </row>
    <row r="7" spans="1:13" x14ac:dyDescent="0.25">
      <c r="B7" s="126" t="s">
        <v>212</v>
      </c>
      <c r="C7" s="128">
        <f>SUM(C5:C6)</f>
        <v>0.15250000000000002</v>
      </c>
      <c r="D7" s="139"/>
      <c r="G7" s="129">
        <v>0.14249999999999999</v>
      </c>
      <c r="H7" s="130">
        <v>8791.33</v>
      </c>
      <c r="I7" s="130">
        <v>9413.93</v>
      </c>
      <c r="J7" s="130">
        <v>10069.77</v>
      </c>
    </row>
    <row r="8" spans="1:13" x14ac:dyDescent="0.25">
      <c r="G8" s="129">
        <v>0.1525</v>
      </c>
      <c r="H8" s="130">
        <v>8163.04</v>
      </c>
      <c r="I8" s="140">
        <v>8736.2099999999991</v>
      </c>
      <c r="J8" s="130">
        <v>9339.67</v>
      </c>
    </row>
    <row r="9" spans="1:13" x14ac:dyDescent="0.25">
      <c r="G9" s="129">
        <v>0.16250000000000001</v>
      </c>
      <c r="H9" s="130">
        <v>7621.65</v>
      </c>
      <c r="I9" s="130">
        <v>8152.13</v>
      </c>
      <c r="J9" s="130">
        <v>8710.3700000000008</v>
      </c>
    </row>
    <row r="12" spans="1:13" x14ac:dyDescent="0.25">
      <c r="M12" s="141"/>
    </row>
    <row r="13" spans="1:13" x14ac:dyDescent="0.25">
      <c r="B13" s="156" t="s">
        <v>232</v>
      </c>
      <c r="C13" s="156"/>
      <c r="D13" s="156"/>
    </row>
    <row r="14" spans="1:13" x14ac:dyDescent="0.25">
      <c r="B14" t="s">
        <v>228</v>
      </c>
      <c r="C14">
        <v>1.1399999999999999</v>
      </c>
      <c r="D14" t="s">
        <v>215</v>
      </c>
      <c r="H14" s="142"/>
    </row>
    <row r="15" spans="1:13" x14ac:dyDescent="0.25">
      <c r="B15" t="s">
        <v>229</v>
      </c>
      <c r="C15">
        <v>1800</v>
      </c>
      <c r="D15" t="s">
        <v>230</v>
      </c>
      <c r="H15" s="142"/>
      <c r="L15" s="141"/>
    </row>
    <row r="16" spans="1:13" x14ac:dyDescent="0.25">
      <c r="B16" t="s">
        <v>231</v>
      </c>
      <c r="C16">
        <f>C15*C14</f>
        <v>2052</v>
      </c>
      <c r="D16" t="s">
        <v>215</v>
      </c>
      <c r="H16" s="142"/>
    </row>
    <row r="19" spans="3:8" x14ac:dyDescent="0.25">
      <c r="C19">
        <f>C16/2</f>
        <v>1026</v>
      </c>
    </row>
    <row r="25" spans="3:8" x14ac:dyDescent="0.25">
      <c r="H25" s="141"/>
    </row>
  </sheetData>
  <mergeCells count="4">
    <mergeCell ref="G4:J4"/>
    <mergeCell ref="G5:G6"/>
    <mergeCell ref="H5:J5"/>
    <mergeCell ref="B13:D13"/>
  </mergeCells>
  <hyperlinks>
    <hyperlink ref="A5" r:id="rId1" xr:uid="{A148E081-1216-4ADA-B38F-29F93D0EE88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BS</vt:lpstr>
      <vt:lpstr>P&amp;L</vt:lpstr>
      <vt:lpstr>CFS</vt:lpstr>
      <vt:lpstr>Sheet2</vt:lpstr>
      <vt:lpstr>Sheet3</vt:lpstr>
      <vt:lpstr>DCF Valuation (1)</vt:lpstr>
      <vt:lpstr>DCF Valuation (2)</vt:lpstr>
      <vt:lpstr>DCF Valuation (3)</vt:lpstr>
      <vt:lpstr>Discount Rate</vt:lpstr>
      <vt:lpstr>Relative Valuation 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2023-01-20T12:56:21Z</dcterms:modified>
</cp:coreProperties>
</file>