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 Progress Files\Manas Upmanyu\173 - KSK Mahanadi Power 6x600 MW TPP\KSK-2022\Report and Workings\Final Report\"/>
    </mc:Choice>
  </mc:AlternateContent>
  <bookViews>
    <workbookView xWindow="0" yWindow="0" windowWidth="24000" windowHeight="9735"/>
  </bookViews>
  <sheets>
    <sheet name="Sheet6" sheetId="16" r:id="rId1"/>
    <sheet name="New Valuation (2)" sheetId="15" r:id="rId2"/>
    <sheet name="New Valuation" sheetId="11" r:id="rId3"/>
    <sheet name="Data By Company-2022" sheetId="12" r:id="rId4"/>
    <sheet name="4th Unit Soft Cost" sheetId="2" r:id="rId5"/>
    <sheet name="4th Unit Capital Cost" sheetId="5" r:id="rId6"/>
    <sheet name="6th Unit Capex" sheetId="7" r:id="rId7"/>
    <sheet name="Sheet2" sheetId="10" r:id="rId8"/>
    <sheet name="Cost incur in 5th Unit" sheetId="3" r:id="rId9"/>
    <sheet name="Cost incur in 6th Unit" sheetId="4" r:id="rId10"/>
    <sheet name="Sheet5" sheetId="8" r:id="rId11"/>
  </sheets>
  <calcPr calcId="152511"/>
</workbook>
</file>

<file path=xl/calcChain.xml><?xml version="1.0" encoding="utf-8"?>
<calcChain xmlns="http://schemas.openxmlformats.org/spreadsheetml/2006/main">
  <c r="E4" i="16" l="1"/>
  <c r="D24" i="11"/>
  <c r="F7" i="16" l="1"/>
  <c r="E7" i="16"/>
  <c r="E8" i="16" s="1"/>
  <c r="E9" i="16" s="1"/>
  <c r="E11" i="16" s="1"/>
  <c r="H45" i="15"/>
  <c r="G29" i="15" s="1"/>
  <c r="G44" i="15"/>
  <c r="C36" i="15"/>
  <c r="J34" i="15"/>
  <c r="I34" i="15"/>
  <c r="H34" i="15"/>
  <c r="S33" i="15"/>
  <c r="S34" i="15" s="1"/>
  <c r="G30" i="15"/>
  <c r="I28" i="15"/>
  <c r="I27" i="15"/>
  <c r="H27" i="15"/>
  <c r="D26" i="15"/>
  <c r="D27" i="15" s="1"/>
  <c r="D28" i="15" s="1"/>
  <c r="D25" i="15"/>
  <c r="G24" i="15"/>
  <c r="D24" i="15"/>
  <c r="E24" i="15" s="1"/>
  <c r="F23" i="15"/>
  <c r="G17" i="15"/>
  <c r="H17" i="15" s="1"/>
  <c r="F17" i="15"/>
  <c r="C17" i="15"/>
  <c r="D18" i="15" s="1"/>
  <c r="D20" i="15" s="1"/>
  <c r="E12" i="15"/>
  <c r="E13" i="15" s="1"/>
  <c r="E14" i="15" s="1"/>
  <c r="C12" i="15"/>
  <c r="D11" i="15"/>
  <c r="F11" i="15" s="1"/>
  <c r="G11" i="15" s="1"/>
  <c r="H11" i="15" s="1"/>
  <c r="C11" i="15"/>
  <c r="C13" i="15" s="1"/>
  <c r="C14" i="15" s="1"/>
  <c r="E12" i="16" l="1"/>
  <c r="E13" i="16" s="1"/>
  <c r="F25" i="15"/>
  <c r="J17" i="15"/>
  <c r="K17" i="15" s="1"/>
  <c r="G34" i="15"/>
  <c r="G32" i="15"/>
  <c r="I46" i="15"/>
  <c r="I11" i="15"/>
  <c r="J11" i="15" s="1"/>
  <c r="I17" i="15"/>
  <c r="E25" i="15"/>
  <c r="D29" i="15"/>
  <c r="D31" i="15" s="1"/>
  <c r="D32" i="15" s="1"/>
  <c r="C35" i="15"/>
  <c r="C37" i="15" s="1"/>
  <c r="I8" i="12"/>
  <c r="I3" i="12"/>
  <c r="H8" i="12"/>
  <c r="G8" i="12"/>
  <c r="F8" i="12"/>
  <c r="F23" i="11"/>
  <c r="C36" i="11"/>
  <c r="K21" i="15" l="1"/>
  <c r="I30" i="15"/>
  <c r="L17" i="15"/>
  <c r="C38" i="15"/>
  <c r="B38" i="15"/>
  <c r="E24" i="11"/>
  <c r="G24" i="11"/>
  <c r="G44" i="11"/>
  <c r="H45" i="11" s="1"/>
  <c r="S34" i="11"/>
  <c r="J34" i="11"/>
  <c r="I34" i="11"/>
  <c r="H34" i="11"/>
  <c r="S33" i="11"/>
  <c r="G30" i="11"/>
  <c r="I28" i="11"/>
  <c r="I27" i="11"/>
  <c r="H27" i="11"/>
  <c r="D27" i="11"/>
  <c r="D28" i="11" s="1"/>
  <c r="C35" i="11" s="1"/>
  <c r="C37" i="11" s="1"/>
  <c r="C38" i="11" s="1"/>
  <c r="D26" i="11"/>
  <c r="D25" i="11"/>
  <c r="E25" i="11"/>
  <c r="F17" i="11"/>
  <c r="G17" i="11" s="1"/>
  <c r="H17" i="11" s="1"/>
  <c r="J17" i="11" s="1"/>
  <c r="K17" i="11" s="1"/>
  <c r="C17" i="11"/>
  <c r="I17" i="11" s="1"/>
  <c r="E12" i="11"/>
  <c r="E13" i="11" s="1"/>
  <c r="E14" i="11" s="1"/>
  <c r="C12" i="11"/>
  <c r="I11" i="11"/>
  <c r="D11" i="11"/>
  <c r="C11" i="11"/>
  <c r="D32" i="5"/>
  <c r="D31" i="5"/>
  <c r="H30" i="15" l="1"/>
  <c r="H32" i="15" s="1"/>
  <c r="I32" i="15"/>
  <c r="B38" i="11"/>
  <c r="C13" i="11"/>
  <c r="C14" i="11" s="1"/>
  <c r="L17" i="11"/>
  <c r="K21" i="11"/>
  <c r="I30" i="11"/>
  <c r="H30" i="11" s="1"/>
  <c r="H32" i="11" s="1"/>
  <c r="F25" i="11"/>
  <c r="I32" i="11"/>
  <c r="I46" i="11"/>
  <c r="G29" i="11"/>
  <c r="D18" i="11"/>
  <c r="D20" i="11" s="1"/>
  <c r="F11" i="11"/>
  <c r="G11" i="11" s="1"/>
  <c r="H11" i="11" s="1"/>
  <c r="J11" i="11" s="1"/>
  <c r="D29" i="11"/>
  <c r="D31" i="11" s="1"/>
  <c r="D32" i="11" s="1"/>
  <c r="F25" i="5"/>
  <c r="E25" i="5"/>
  <c r="G32" i="11" l="1"/>
  <c r="G34" i="11"/>
  <c r="I17" i="5"/>
  <c r="D29" i="5"/>
  <c r="D28" i="5"/>
  <c r="D27" i="5"/>
  <c r="D26" i="5"/>
  <c r="D25" i="5"/>
  <c r="D24" i="5"/>
  <c r="S33" i="5"/>
  <c r="S32" i="5"/>
  <c r="G33" i="5"/>
  <c r="I33" i="5"/>
  <c r="J33" i="5"/>
  <c r="H33" i="5"/>
  <c r="H27" i="5"/>
  <c r="I28" i="5"/>
  <c r="I27" i="5"/>
  <c r="G29" i="5"/>
  <c r="G31" i="5" s="1"/>
  <c r="G30" i="5"/>
  <c r="I45" i="5"/>
  <c r="H44" i="5" l="1"/>
  <c r="G43" i="5"/>
  <c r="H14" i="10" l="1"/>
  <c r="H13" i="10"/>
  <c r="H15" i="10" s="1"/>
  <c r="H12" i="10"/>
  <c r="D20" i="5"/>
  <c r="D18" i="5"/>
  <c r="J17" i="5"/>
  <c r="K17" i="5" s="1"/>
  <c r="L17" i="5" s="1"/>
  <c r="H17" i="5"/>
  <c r="G17" i="5"/>
  <c r="C17" i="5"/>
  <c r="F17" i="5"/>
  <c r="I30" i="5" l="1"/>
  <c r="K21" i="5"/>
  <c r="E13" i="5"/>
  <c r="E14" i="5" s="1"/>
  <c r="E12" i="5"/>
  <c r="C14" i="5"/>
  <c r="C13" i="5"/>
  <c r="C12" i="5"/>
  <c r="H15" i="2"/>
  <c r="H16" i="2" s="1"/>
  <c r="J16" i="2" l="1"/>
  <c r="H30" i="5"/>
  <c r="H31" i="5" s="1"/>
  <c r="I31" i="5"/>
  <c r="J17" i="2" l="1"/>
  <c r="K16" i="2"/>
  <c r="E11" i="10"/>
  <c r="F11" i="10" s="1"/>
  <c r="G11" i="10" l="1"/>
  <c r="H11" i="10" s="1"/>
  <c r="C11" i="5" l="1"/>
  <c r="I17" i="8"/>
  <c r="J17" i="8" s="1"/>
  <c r="I16" i="8" l="1"/>
  <c r="J16" i="8" s="1"/>
  <c r="I15" i="8"/>
  <c r="J15" i="8" s="1"/>
  <c r="I14" i="8"/>
  <c r="J14" i="8" s="1"/>
  <c r="J13" i="8"/>
  <c r="I12" i="8"/>
  <c r="J11" i="8" s="1"/>
  <c r="J18" i="8" s="1"/>
  <c r="D11" i="5" l="1"/>
  <c r="F11" i="5" s="1"/>
  <c r="I11" i="5"/>
  <c r="G11" i="5" l="1"/>
  <c r="H11" i="5" s="1"/>
  <c r="J11" i="5" s="1"/>
  <c r="B11" i="2"/>
  <c r="D11" i="2" l="1"/>
  <c r="E11" i="7"/>
  <c r="F11" i="7" s="1"/>
  <c r="G11" i="7" s="1"/>
  <c r="E11" i="2" l="1"/>
  <c r="F11" i="2" s="1"/>
  <c r="H11" i="2" s="1"/>
  <c r="H11" i="7"/>
</calcChain>
</file>

<file path=xl/sharedStrings.xml><?xml version="1.0" encoding="utf-8"?>
<sst xmlns="http://schemas.openxmlformats.org/spreadsheetml/2006/main" count="320" uniqueCount="126">
  <si>
    <t>Total</t>
  </si>
  <si>
    <t>VALUATION OF CWIP SOFT COST IN 4TH UNIT</t>
  </si>
  <si>
    <t>Figures in INR Crores</t>
  </si>
  <si>
    <t xml:space="preserve">Revised Cost </t>
  </si>
  <si>
    <t>Expensed</t>
  </si>
  <si>
    <t>Land and Site development</t>
  </si>
  <si>
    <t>EPC Cost:</t>
  </si>
  <si>
    <t xml:space="preserve">     Offshore supply </t>
  </si>
  <si>
    <t xml:space="preserve">     Offshore services </t>
  </si>
  <si>
    <t xml:space="preserve">     Offshore spares</t>
  </si>
  <si>
    <t xml:space="preserve">     Onshore supply </t>
  </si>
  <si>
    <t xml:space="preserve">     Onshore services</t>
  </si>
  <si>
    <t xml:space="preserve">     Construction works </t>
  </si>
  <si>
    <t xml:space="preserve">     Forex on existing buyers credit </t>
  </si>
  <si>
    <t>Contingency</t>
  </si>
  <si>
    <t>Non-EPC Cost</t>
  </si>
  <si>
    <t>Preliminary and preoperative expenses</t>
  </si>
  <si>
    <t>Net Current Assets</t>
  </si>
  <si>
    <t>Working Capital Margin</t>
  </si>
  <si>
    <t>Margin for BG</t>
  </si>
  <si>
    <t>Capex (excluding IDC)</t>
  </si>
  <si>
    <t>IDC Arrears</t>
  </si>
  <si>
    <t>IDC</t>
  </si>
  <si>
    <t>Particulars</t>
  </si>
  <si>
    <t>EXPENDITURE IN 6TH UNIT</t>
  </si>
  <si>
    <t xml:space="preserve">Fair Market Value of CWIP Capital Cost </t>
  </si>
  <si>
    <t>VALUATION OF CWIP CAPITAL COST IN 4TH UNIT</t>
  </si>
  <si>
    <r>
      <t xml:space="preserve">Total Replacement Cost on Completion                            </t>
    </r>
    <r>
      <rPr>
        <b/>
        <i/>
        <sz val="11"/>
        <color theme="1"/>
        <rFont val="Calibri"/>
        <family val="2"/>
        <scheme val="minor"/>
      </rPr>
      <t>(Replacement Cost of capex + Additional cost to be incurred)</t>
    </r>
  </si>
  <si>
    <t>Assessment of Unreasonable Cost</t>
  </si>
  <si>
    <t>Total reasonable capital expenditure considered</t>
  </si>
  <si>
    <t>Remobilization Charges                            (C)</t>
  </si>
  <si>
    <t>Market Value of CWIP 5th Unit</t>
  </si>
  <si>
    <t>Deduction of Uncertainity cum Utility Factor</t>
  </si>
  <si>
    <t>Source: Financial Projections Model prepared by SBICAPS</t>
  </si>
  <si>
    <t>CAPEX INCURRED IN UNIT 1 (5th UNIT)</t>
  </si>
  <si>
    <t>Source: Financial Projections Model prepared by SBICAPS &amp; Information received from KSKMPCL</t>
  </si>
  <si>
    <t>Replacement Cost for completion of 5th Unit taking CII &amp; USD Rate Fluctuation</t>
  </si>
  <si>
    <t>A= INR 6.3 cr/MW</t>
  </si>
  <si>
    <t>B</t>
  </si>
  <si>
    <t>C=0.04*A</t>
  </si>
  <si>
    <t>D=B-C</t>
  </si>
  <si>
    <t>F=D-E</t>
  </si>
  <si>
    <t>VALUATION OF CAPEX INCURRED IN UNIT 6 (6th UNIT)</t>
  </si>
  <si>
    <t>Net Fair Market Value of Capex Inurred in Unit 6               (6th Unit)</t>
  </si>
  <si>
    <t>Reasonable Soft Cost to be incurred as per CERC/Industry Benchmark</t>
  </si>
  <si>
    <t xml:space="preserve"> Soft Cost incurred as per CWIP Ledger given by company till 31.03.2018</t>
  </si>
  <si>
    <t>Excess Soft Cost per year</t>
  </si>
  <si>
    <t xml:space="preserve">Reasonable Soft Cost considered for Valuation </t>
  </si>
  <si>
    <t>Overall Completion of the Unit as per PMC report for month of April 2018</t>
  </si>
  <si>
    <t>Current Value of CWIP Soft Cost</t>
  </si>
  <si>
    <t>A= Rs.1.2 Cr/MW</t>
  </si>
  <si>
    <t>C=B-A</t>
  </si>
  <si>
    <t>E=A+D</t>
  </si>
  <si>
    <t>F</t>
  </si>
  <si>
    <t>G=F*E</t>
  </si>
  <si>
    <t xml:space="preserve">Replacement Cost of Capital Expenditure incurred as on date </t>
  </si>
  <si>
    <t>C</t>
  </si>
  <si>
    <t>D=B+C</t>
  </si>
  <si>
    <t>E=D-A</t>
  </si>
  <si>
    <t>F=B-E</t>
  </si>
  <si>
    <t>G=4% of A</t>
  </si>
  <si>
    <t>H=F-G</t>
  </si>
  <si>
    <t>Offshore Supply</t>
  </si>
  <si>
    <t>Offshore Services</t>
  </si>
  <si>
    <t>Onshore Supply</t>
  </si>
  <si>
    <t>Onshore Services</t>
  </si>
  <si>
    <t>Source: Report on Cost to Complete 2400 MW prepared by Steag Energy Services India Pvt Ltd dated June 2018</t>
  </si>
  <si>
    <t>Estimate of Balance Works in Unit 5 (4th Unit)</t>
  </si>
  <si>
    <t xml:space="preserve"> USD 300000</t>
  </si>
  <si>
    <t xml:space="preserve"> USD 147508175</t>
  </si>
  <si>
    <t>Construction Contract (includes common Buildings &amp; sewage works)</t>
  </si>
  <si>
    <t xml:space="preserve">Balance cost to be incur for completion of Unit as per Report of Steag Energy Services India Pvt Ltd dated June 2018                                   </t>
  </si>
  <si>
    <t>Non-EPC (exclusive of Water Infrastructure &amp; Rail Infrastructure)</t>
  </si>
  <si>
    <t>Replacement Capital Cost for completion of 4th Unit as per CERC/Industry Benchmark (inclusive of Non-EPC)</t>
  </si>
  <si>
    <t>A=5.2*600</t>
  </si>
  <si>
    <t>E=50% of D</t>
  </si>
  <si>
    <t>Excess Soft Cost Incurred from July'13 to Dec'18                  (5.44 years)</t>
  </si>
  <si>
    <t>D=C/5.44</t>
  </si>
  <si>
    <t>Replacement Cost of Capital Expenditure incurred as on date taking assumption that the construction of 5th Unit started in 2016</t>
  </si>
  <si>
    <t>VALUATION OF CAPEX INCURRED IN UNIT 1 (5th UNIT)</t>
  </si>
  <si>
    <t>Land</t>
  </si>
  <si>
    <t xml:space="preserve">Building </t>
  </si>
  <si>
    <t>P&amp;M</t>
  </si>
  <si>
    <t>CWIP</t>
  </si>
  <si>
    <t>LAND</t>
  </si>
  <si>
    <t>BUILD</t>
  </si>
  <si>
    <t>GCRC</t>
  </si>
  <si>
    <t>FV</t>
  </si>
  <si>
    <t>NEW gcrc</t>
  </si>
  <si>
    <t xml:space="preserve">                  -   </t>
  </si>
  <si>
    <t>A=7*600*3</t>
  </si>
  <si>
    <r>
      <t xml:space="preserve">Total Replacement Cost on Completion                            </t>
    </r>
    <r>
      <rPr>
        <i/>
        <sz val="11"/>
        <color theme="1"/>
        <rFont val="Calibri"/>
        <family val="2"/>
        <scheme val="minor"/>
      </rPr>
      <t>(Replacement Cost of capex + Additional cost to be incurred)</t>
    </r>
  </si>
  <si>
    <t>A</t>
  </si>
  <si>
    <t>D</t>
  </si>
  <si>
    <t>E</t>
  </si>
  <si>
    <t>G</t>
  </si>
  <si>
    <t>Particular</t>
  </si>
  <si>
    <t>Sr. No.</t>
  </si>
  <si>
    <t>Figures
(in Rs. Cr.)</t>
  </si>
  <si>
    <t>Deduction of Offshore supply</t>
  </si>
  <si>
    <t>B block</t>
  </si>
  <si>
    <t>F=50% of D</t>
  </si>
  <si>
    <t>A=6.5*600*3</t>
  </si>
  <si>
    <t>Unit-1</t>
  </si>
  <si>
    <t>Unit-5</t>
  </si>
  <si>
    <t>Unit-6</t>
  </si>
  <si>
    <t>EPC &amp; Non-EPC cost</t>
  </si>
  <si>
    <t>EPC  - Material - In - Transit</t>
  </si>
  <si>
    <t>Pre-operative expenditure</t>
  </si>
  <si>
    <t>Interest During Construction</t>
  </si>
  <si>
    <t>Exchange variation</t>
  </si>
  <si>
    <t>S. No.</t>
  </si>
  <si>
    <t xml:space="preserve">Balance cost to be incurred for completion of 3 CWIP Units as per Report of Steag Energy Services India Pvt Ltd dated June 2018                                   </t>
  </si>
  <si>
    <t>Deduction of Uncertainity cum Utility and Risk Factor</t>
  </si>
  <si>
    <t>Cost of In-transit items</t>
  </si>
  <si>
    <t>Deduction of offshore supply cost</t>
  </si>
  <si>
    <t>Deduction of Uncertainty cum Utility Factor</t>
  </si>
  <si>
    <t>I=50% of H</t>
  </si>
  <si>
    <t>Fair Market Value</t>
  </si>
  <si>
    <t>J=H-I</t>
  </si>
  <si>
    <t>Replacement Capital Cost for completion of Unit 1, 5 and 6 as per CERC/Industry Benchmark (inclusive of Non-EPC)</t>
  </si>
  <si>
    <t>Replacement Cost of Capital Expenditure (As per Balance sheet dated 31st March 2022)</t>
  </si>
  <si>
    <t>Balance cost to be incurred for completion of the Units
(As per Technical Study Report by L&amp;T)</t>
  </si>
  <si>
    <t>Total Replacement Cost on Completion
(Replacement Cost of capex + Additional cost to be incurred)</t>
  </si>
  <si>
    <t>Figures
(in ₹ Cr.)</t>
  </si>
  <si>
    <t>A=6.4*600*3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</si>
</sst>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222222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4" fontId="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10" fontId="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44" fontId="9" fillId="0" borderId="2" xfId="1" applyFont="1" applyBorder="1"/>
    <xf numFmtId="0" fontId="9" fillId="0" borderId="2" xfId="0" applyFont="1" applyBorder="1"/>
    <xf numFmtId="44" fontId="8" fillId="0" borderId="2" xfId="0" applyNumberFormat="1" applyFont="1" applyBorder="1"/>
    <xf numFmtId="44" fontId="9" fillId="0" borderId="2" xfId="1" applyFont="1" applyBorder="1" applyAlignment="1">
      <alignment horizontal="right"/>
    </xf>
    <xf numFmtId="0" fontId="9" fillId="0" borderId="2" xfId="0" applyFont="1" applyBorder="1" applyAlignment="1">
      <alignment wrapText="1"/>
    </xf>
    <xf numFmtId="44" fontId="9" fillId="0" borderId="2" xfId="0" applyNumberFormat="1" applyFont="1" applyBorder="1" applyAlignment="1">
      <alignment horizontal="center" vertical="center"/>
    </xf>
    <xf numFmtId="44" fontId="9" fillId="0" borderId="2" xfId="1" applyFont="1" applyBorder="1" applyAlignment="1">
      <alignment horizontal="center" vertical="center"/>
    </xf>
    <xf numFmtId="44" fontId="0" fillId="0" borderId="0" xfId="0" applyNumberFormat="1"/>
    <xf numFmtId="10" fontId="0" fillId="0" borderId="0" xfId="0" applyNumberFormat="1"/>
    <xf numFmtId="43" fontId="0" fillId="0" borderId="0" xfId="2" applyFont="1"/>
    <xf numFmtId="164" fontId="0" fillId="0" borderId="0" xfId="2" applyNumberFormat="1" applyFont="1"/>
    <xf numFmtId="43" fontId="0" fillId="0" borderId="0" xfId="0" applyNumberFormat="1"/>
    <xf numFmtId="43" fontId="11" fillId="0" borderId="0" xfId="2" applyFont="1" applyFill="1" applyBorder="1" applyAlignment="1">
      <alignment horizontal="left" vertical="center"/>
    </xf>
    <xf numFmtId="43" fontId="12" fillId="0" borderId="2" xfId="2" applyFont="1" applyFill="1" applyBorder="1" applyAlignment="1">
      <alignment vertical="center"/>
    </xf>
    <xf numFmtId="43" fontId="13" fillId="0" borderId="0" xfId="2" applyFont="1"/>
    <xf numFmtId="43" fontId="14" fillId="0" borderId="2" xfId="2" applyFont="1" applyFill="1" applyBorder="1" applyAlignment="1">
      <alignment vertical="center"/>
    </xf>
    <xf numFmtId="9" fontId="13" fillId="0" borderId="0" xfId="3" applyFont="1"/>
    <xf numFmtId="10" fontId="0" fillId="0" borderId="0" xfId="3" applyNumberFormat="1" applyFont="1"/>
    <xf numFmtId="44" fontId="15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/>
    <xf numFmtId="43" fontId="3" fillId="0" borderId="0" xfId="2" applyFont="1"/>
    <xf numFmtId="0" fontId="13" fillId="0" borderId="8" xfId="0" applyFont="1" applyBorder="1" applyAlignment="1">
      <alignment horizontal="right" vertical="center"/>
    </xf>
    <xf numFmtId="4" fontId="0" fillId="0" borderId="0" xfId="0" applyNumberFormat="1"/>
    <xf numFmtId="4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0" borderId="2" xfId="2" applyFont="1" applyBorder="1"/>
    <xf numFmtId="0" fontId="0" fillId="0" borderId="2" xfId="0" applyBorder="1" applyAlignment="1">
      <alignment wrapText="1"/>
    </xf>
    <xf numFmtId="43" fontId="1" fillId="0" borderId="2" xfId="2" applyFont="1" applyBorder="1"/>
    <xf numFmtId="0" fontId="0" fillId="0" borderId="0" xfId="0" applyAlignment="1">
      <alignment horizontal="right" vertical="center"/>
    </xf>
    <xf numFmtId="165" fontId="16" fillId="0" borderId="0" xfId="0" applyNumberFormat="1" applyFont="1" applyFill="1" applyBorder="1" applyAlignment="1">
      <alignment vertical="center"/>
    </xf>
    <xf numFmtId="43" fontId="16" fillId="0" borderId="0" xfId="2" applyFont="1" applyFill="1" applyBorder="1" applyAlignment="1">
      <alignment vertical="center"/>
    </xf>
    <xf numFmtId="43" fontId="0" fillId="0" borderId="2" xfId="2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43" fontId="17" fillId="4" borderId="2" xfId="2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43" fontId="18" fillId="4" borderId="2" xfId="2" applyFont="1" applyFill="1" applyBorder="1" applyAlignment="1">
      <alignment horizontal="right" vertical="center"/>
    </xf>
    <xf numFmtId="43" fontId="20" fillId="4" borderId="2" xfId="2" applyFont="1" applyFill="1" applyBorder="1"/>
    <xf numFmtId="0" fontId="21" fillId="0" borderId="2" xfId="0" applyFont="1" applyBorder="1"/>
    <xf numFmtId="43" fontId="21" fillId="0" borderId="2" xfId="2" applyFont="1" applyBorder="1"/>
    <xf numFmtId="0" fontId="22" fillId="0" borderId="2" xfId="0" applyFont="1" applyBorder="1"/>
    <xf numFmtId="43" fontId="22" fillId="0" borderId="2" xfId="2" applyFont="1" applyBorder="1"/>
    <xf numFmtId="0" fontId="3" fillId="0" borderId="2" xfId="0" applyFont="1" applyBorder="1"/>
    <xf numFmtId="43" fontId="1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44" fontId="9" fillId="0" borderId="3" xfId="1" applyFont="1" applyBorder="1" applyAlignment="1">
      <alignment horizontal="center" vertical="center"/>
    </xf>
    <xf numFmtId="44" fontId="9" fillId="0" borderId="7" xfId="1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right" vertical="center" wrapText="1"/>
    </xf>
    <xf numFmtId="0" fontId="24" fillId="6" borderId="2" xfId="0" applyFont="1" applyFill="1" applyBorder="1" applyAlignment="1">
      <alignment horizontal="center" vertical="center" wrapText="1"/>
    </xf>
    <xf numFmtId="43" fontId="23" fillId="5" borderId="2" xfId="2" applyFont="1" applyFill="1" applyBorder="1" applyAlignment="1">
      <alignment horizontal="center" vertical="center" wrapText="1"/>
    </xf>
    <xf numFmtId="43" fontId="11" fillId="0" borderId="2" xfId="2" applyFont="1" applyBorder="1" applyAlignment="1">
      <alignment horizontal="right" vertical="center"/>
    </xf>
    <xf numFmtId="43" fontId="24" fillId="6" borderId="2" xfId="2" applyFont="1" applyFill="1" applyBorder="1" applyAlignment="1">
      <alignment horizontal="right" vertical="center"/>
    </xf>
    <xf numFmtId="43" fontId="11" fillId="0" borderId="2" xfId="2" applyFont="1" applyBorder="1" applyAlignment="1">
      <alignment vertical="center"/>
    </xf>
    <xf numFmtId="0" fontId="0" fillId="0" borderId="0" xfId="0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43" fontId="0" fillId="0" borderId="0" xfId="2" applyFont="1" applyAlignment="1">
      <alignment vertical="center"/>
    </xf>
    <xf numFmtId="43" fontId="0" fillId="0" borderId="0" xfId="0" applyNumberFormat="1" applyAlignment="1">
      <alignment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3:H13"/>
  <sheetViews>
    <sheetView tabSelected="1" workbookViewId="0">
      <selection activeCell="E4" sqref="E4"/>
    </sheetView>
  </sheetViews>
  <sheetFormatPr defaultRowHeight="15" x14ac:dyDescent="0.25"/>
  <cols>
    <col min="1" max="2" width="9.140625" style="109"/>
    <col min="3" max="3" width="60" style="109" bestFit="1" customWidth="1"/>
    <col min="4" max="4" width="12.7109375" style="13" bestFit="1" customWidth="1"/>
    <col min="5" max="5" width="11.28515625" style="111" bestFit="1" customWidth="1"/>
    <col min="6" max="16384" width="9.140625" style="109"/>
  </cols>
  <sheetData>
    <row r="3" spans="3:8" s="13" customFormat="1" ht="30" x14ac:dyDescent="0.25">
      <c r="C3" s="110" t="s">
        <v>96</v>
      </c>
      <c r="D3" s="110" t="s">
        <v>97</v>
      </c>
      <c r="E3" s="105" t="s">
        <v>124</v>
      </c>
    </row>
    <row r="4" spans="3:8" ht="28.5" x14ac:dyDescent="0.25">
      <c r="C4" s="101" t="s">
        <v>120</v>
      </c>
      <c r="D4" s="102" t="s">
        <v>125</v>
      </c>
      <c r="E4" s="108">
        <f>6.4*1800</f>
        <v>11520</v>
      </c>
    </row>
    <row r="5" spans="3:8" ht="28.5" x14ac:dyDescent="0.25">
      <c r="C5" s="101" t="s">
        <v>121</v>
      </c>
      <c r="D5" s="102" t="s">
        <v>38</v>
      </c>
      <c r="E5" s="108">
        <v>5600</v>
      </c>
      <c r="F5" s="109">
        <v>5600</v>
      </c>
      <c r="H5" s="109">
        <v>4559.66</v>
      </c>
    </row>
    <row r="6" spans="3:8" ht="28.5" x14ac:dyDescent="0.25">
      <c r="C6" s="101" t="s">
        <v>122</v>
      </c>
      <c r="D6" s="102" t="s">
        <v>56</v>
      </c>
      <c r="E6" s="108">
        <v>8693.32</v>
      </c>
    </row>
    <row r="7" spans="3:8" ht="28.5" x14ac:dyDescent="0.25">
      <c r="C7" s="101" t="s">
        <v>123</v>
      </c>
      <c r="D7" s="102" t="s">
        <v>57</v>
      </c>
      <c r="E7" s="108">
        <f>E6+E5</f>
        <v>14293.32</v>
      </c>
      <c r="F7" s="112">
        <f>E4-E6</f>
        <v>2826.6800000000003</v>
      </c>
    </row>
    <row r="8" spans="3:8" x14ac:dyDescent="0.25">
      <c r="C8" s="101" t="s">
        <v>28</v>
      </c>
      <c r="D8" s="102" t="s">
        <v>58</v>
      </c>
      <c r="E8" s="106">
        <f>E7-E4</f>
        <v>2773.3199999999997</v>
      </c>
    </row>
    <row r="9" spans="3:8" x14ac:dyDescent="0.25">
      <c r="C9" s="101" t="s">
        <v>29</v>
      </c>
      <c r="D9" s="102" t="s">
        <v>59</v>
      </c>
      <c r="E9" s="106">
        <f>E5-E8</f>
        <v>2826.6800000000003</v>
      </c>
    </row>
    <row r="10" spans="3:8" x14ac:dyDescent="0.25">
      <c r="C10" s="101" t="s">
        <v>114</v>
      </c>
      <c r="D10" s="102" t="s">
        <v>95</v>
      </c>
      <c r="E10" s="106">
        <v>173.98</v>
      </c>
    </row>
    <row r="11" spans="3:8" x14ac:dyDescent="0.25">
      <c r="C11" s="101" t="s">
        <v>115</v>
      </c>
      <c r="D11" s="102" t="s">
        <v>61</v>
      </c>
      <c r="E11" s="106">
        <f>E9-E10</f>
        <v>2652.7000000000003</v>
      </c>
    </row>
    <row r="12" spans="3:8" x14ac:dyDescent="0.25">
      <c r="C12" s="101" t="s">
        <v>116</v>
      </c>
      <c r="D12" s="102" t="s">
        <v>117</v>
      </c>
      <c r="E12" s="106">
        <f>E11*0.5</f>
        <v>1326.3500000000001</v>
      </c>
    </row>
    <row r="13" spans="3:8" x14ac:dyDescent="0.25">
      <c r="C13" s="103" t="s">
        <v>118</v>
      </c>
      <c r="D13" s="104" t="s">
        <v>119</v>
      </c>
      <c r="E13" s="107">
        <f>E11-E12</f>
        <v>1326.3500000000001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G29"/>
  <sheetViews>
    <sheetView topLeftCell="A7" workbookViewId="0">
      <selection activeCell="F20" sqref="F20"/>
    </sheetView>
  </sheetViews>
  <sheetFormatPr defaultRowHeight="15" x14ac:dyDescent="0.25"/>
  <cols>
    <col min="6" max="6" width="32.7109375" customWidth="1"/>
    <col min="7" max="7" width="15.140625" style="13" customWidth="1"/>
  </cols>
  <sheetData>
    <row r="6" spans="6:7" ht="27" customHeight="1" x14ac:dyDescent="0.25">
      <c r="F6" s="83" t="s">
        <v>24</v>
      </c>
      <c r="G6" s="83"/>
    </row>
    <row r="7" spans="6:7" x14ac:dyDescent="0.25">
      <c r="F7" s="95" t="s">
        <v>2</v>
      </c>
      <c r="G7" s="95"/>
    </row>
    <row r="8" spans="6:7" x14ac:dyDescent="0.25">
      <c r="F8" s="16" t="s">
        <v>23</v>
      </c>
      <c r="G8" s="16" t="s">
        <v>4</v>
      </c>
    </row>
    <row r="9" spans="6:7" x14ac:dyDescent="0.25">
      <c r="F9" s="14" t="s">
        <v>5</v>
      </c>
      <c r="G9" s="12">
        <v>0</v>
      </c>
    </row>
    <row r="10" spans="6:7" x14ac:dyDescent="0.25">
      <c r="F10" s="14" t="s">
        <v>6</v>
      </c>
      <c r="G10" s="12"/>
    </row>
    <row r="11" spans="6:7" x14ac:dyDescent="0.25">
      <c r="F11" s="14" t="s">
        <v>7</v>
      </c>
      <c r="G11" s="12">
        <v>61</v>
      </c>
    </row>
    <row r="12" spans="6:7" x14ac:dyDescent="0.25">
      <c r="F12" s="14" t="s">
        <v>8</v>
      </c>
      <c r="G12" s="12">
        <v>2</v>
      </c>
    </row>
    <row r="13" spans="6:7" x14ac:dyDescent="0.25">
      <c r="F13" s="14" t="s">
        <v>9</v>
      </c>
      <c r="G13" s="12">
        <v>0</v>
      </c>
    </row>
    <row r="14" spans="6:7" x14ac:dyDescent="0.25">
      <c r="F14" s="14" t="s">
        <v>10</v>
      </c>
      <c r="G14" s="12">
        <v>0</v>
      </c>
    </row>
    <row r="15" spans="6:7" x14ac:dyDescent="0.25">
      <c r="F15" s="14" t="s">
        <v>11</v>
      </c>
      <c r="G15" s="12">
        <v>19</v>
      </c>
    </row>
    <row r="16" spans="6:7" x14ac:dyDescent="0.25">
      <c r="F16" s="14" t="s">
        <v>12</v>
      </c>
      <c r="G16" s="12">
        <v>264</v>
      </c>
    </row>
    <row r="17" spans="6:7" x14ac:dyDescent="0.25">
      <c r="F17" s="14" t="s">
        <v>13</v>
      </c>
      <c r="G17" s="12">
        <v>0</v>
      </c>
    </row>
    <row r="18" spans="6:7" x14ac:dyDescent="0.25">
      <c r="F18" s="14" t="s">
        <v>14</v>
      </c>
      <c r="G18" s="12">
        <v>0</v>
      </c>
    </row>
    <row r="19" spans="6:7" x14ac:dyDescent="0.25">
      <c r="F19" s="14" t="s">
        <v>15</v>
      </c>
      <c r="G19" s="12">
        <v>0</v>
      </c>
    </row>
    <row r="20" spans="6:7" ht="30" x14ac:dyDescent="0.25">
      <c r="F20" s="14" t="s">
        <v>16</v>
      </c>
      <c r="G20" s="12">
        <v>176</v>
      </c>
    </row>
    <row r="21" spans="6:7" x14ac:dyDescent="0.25">
      <c r="F21" s="14" t="s">
        <v>17</v>
      </c>
      <c r="G21" s="12">
        <v>0</v>
      </c>
    </row>
    <row r="22" spans="6:7" x14ac:dyDescent="0.25">
      <c r="F22" s="14" t="s">
        <v>18</v>
      </c>
      <c r="G22" s="12">
        <v>0</v>
      </c>
    </row>
    <row r="23" spans="6:7" x14ac:dyDescent="0.25">
      <c r="F23" s="14" t="s">
        <v>19</v>
      </c>
      <c r="G23" s="12">
        <v>0</v>
      </c>
    </row>
    <row r="24" spans="6:7" x14ac:dyDescent="0.25">
      <c r="F24" s="14" t="s">
        <v>20</v>
      </c>
      <c r="G24" s="12">
        <v>522</v>
      </c>
    </row>
    <row r="25" spans="6:7" x14ac:dyDescent="0.25">
      <c r="F25" s="14" t="s">
        <v>21</v>
      </c>
      <c r="G25" s="12">
        <v>0</v>
      </c>
    </row>
    <row r="26" spans="6:7" x14ac:dyDescent="0.25">
      <c r="F26" s="14" t="s">
        <v>22</v>
      </c>
      <c r="G26" s="12">
        <v>0</v>
      </c>
    </row>
    <row r="27" spans="6:7" x14ac:dyDescent="0.25">
      <c r="F27" s="15" t="s">
        <v>0</v>
      </c>
      <c r="G27" s="16">
        <v>522</v>
      </c>
    </row>
    <row r="28" spans="6:7" x14ac:dyDescent="0.25">
      <c r="F28" s="93" t="s">
        <v>33</v>
      </c>
      <c r="G28" s="93"/>
    </row>
    <row r="29" spans="6:7" x14ac:dyDescent="0.25">
      <c r="F29" s="94"/>
      <c r="G29" s="94"/>
    </row>
  </sheetData>
  <mergeCells count="4">
    <mergeCell ref="F6:G6"/>
    <mergeCell ref="F28:G28"/>
    <mergeCell ref="F29:G29"/>
    <mergeCell ref="F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9:J19"/>
  <sheetViews>
    <sheetView workbookViewId="0">
      <selection activeCell="I14" sqref="I14"/>
    </sheetView>
  </sheetViews>
  <sheetFormatPr defaultRowHeight="15" x14ac:dyDescent="0.25"/>
  <cols>
    <col min="8" max="8" width="31.85546875" customWidth="1"/>
    <col min="9" max="9" width="22.5703125" customWidth="1"/>
    <col min="10" max="10" width="19.85546875" customWidth="1"/>
  </cols>
  <sheetData>
    <row r="9" spans="8:10" ht="27.6" customHeight="1" x14ac:dyDescent="0.25">
      <c r="H9" s="90" t="s">
        <v>67</v>
      </c>
      <c r="I9" s="90"/>
      <c r="J9" s="90"/>
    </row>
    <row r="10" spans="8:10" x14ac:dyDescent="0.25">
      <c r="H10" s="24"/>
      <c r="I10" s="24"/>
      <c r="J10" s="25" t="s">
        <v>0</v>
      </c>
    </row>
    <row r="11" spans="8:10" x14ac:dyDescent="0.25">
      <c r="H11" s="96" t="s">
        <v>62</v>
      </c>
      <c r="I11" s="26" t="s">
        <v>69</v>
      </c>
      <c r="J11" s="99">
        <f>(147508175*68)+I12</f>
        <v>12014355900</v>
      </c>
    </row>
    <row r="12" spans="8:10" x14ac:dyDescent="0.25">
      <c r="H12" s="96"/>
      <c r="I12" s="27">
        <f>198.38*10000000</f>
        <v>1983800000</v>
      </c>
      <c r="J12" s="100"/>
    </row>
    <row r="13" spans="8:10" x14ac:dyDescent="0.25">
      <c r="H13" s="28" t="s">
        <v>63</v>
      </c>
      <c r="I13" s="30" t="s">
        <v>68</v>
      </c>
      <c r="J13" s="27">
        <f>300000*68</f>
        <v>20400000</v>
      </c>
    </row>
    <row r="14" spans="8:10" x14ac:dyDescent="0.25">
      <c r="H14" s="28" t="s">
        <v>64</v>
      </c>
      <c r="I14" s="27">
        <f>47.95*10000000</f>
        <v>479500000</v>
      </c>
      <c r="J14" s="27">
        <f>I14</f>
        <v>479500000</v>
      </c>
    </row>
    <row r="15" spans="8:10" x14ac:dyDescent="0.25">
      <c r="H15" s="28" t="s">
        <v>65</v>
      </c>
      <c r="I15" s="27">
        <f>107.04*10000000</f>
        <v>1070400000.0000001</v>
      </c>
      <c r="J15" s="27">
        <f>I15</f>
        <v>1070400000.0000001</v>
      </c>
    </row>
    <row r="16" spans="8:10" ht="26.25" x14ac:dyDescent="0.25">
      <c r="H16" s="31" t="s">
        <v>70</v>
      </c>
      <c r="I16" s="32">
        <f>77.25*10000000</f>
        <v>772500000</v>
      </c>
      <c r="J16" s="33">
        <f>I16</f>
        <v>772500000</v>
      </c>
    </row>
    <row r="17" spans="8:10" ht="26.25" x14ac:dyDescent="0.25">
      <c r="H17" s="31" t="s">
        <v>72</v>
      </c>
      <c r="I17" s="32">
        <f>57.66*10000000</f>
        <v>576600000</v>
      </c>
      <c r="J17" s="33">
        <f>I17</f>
        <v>576600000</v>
      </c>
    </row>
    <row r="18" spans="8:10" x14ac:dyDescent="0.25">
      <c r="H18" s="97" t="s">
        <v>0</v>
      </c>
      <c r="I18" s="97"/>
      <c r="J18" s="29">
        <f>SUM(J11:J17)</f>
        <v>14933755900</v>
      </c>
    </row>
    <row r="19" spans="8:10" ht="29.45" customHeight="1" x14ac:dyDescent="0.25">
      <c r="H19" s="98" t="s">
        <v>66</v>
      </c>
      <c r="I19" s="98"/>
      <c r="J19" s="98"/>
    </row>
  </sheetData>
  <mergeCells count="5">
    <mergeCell ref="H9:J9"/>
    <mergeCell ref="H11:H12"/>
    <mergeCell ref="H18:I18"/>
    <mergeCell ref="H19:J19"/>
    <mergeCell ref="J11: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S46"/>
  <sheetViews>
    <sheetView workbookViewId="0">
      <selection sqref="A1:XFD14"/>
    </sheetView>
  </sheetViews>
  <sheetFormatPr defaultRowHeight="15" x14ac:dyDescent="0.25"/>
  <cols>
    <col min="2" max="2" width="41.28515625" customWidth="1"/>
    <col min="3" max="3" width="18.5703125" customWidth="1"/>
    <col min="4" max="4" width="21.7109375" customWidth="1"/>
    <col min="5" max="5" width="23.42578125" customWidth="1"/>
    <col min="6" max="6" width="23.5703125" customWidth="1"/>
    <col min="7" max="7" width="16.7109375" customWidth="1"/>
    <col min="8" max="8" width="18.28515625" customWidth="1"/>
    <col min="9" max="9" width="16.42578125" customWidth="1"/>
    <col min="10" max="10" width="24.5703125" customWidth="1"/>
    <col min="11" max="11" width="24.85546875" customWidth="1"/>
  </cols>
  <sheetData>
    <row r="7" spans="3:11" x14ac:dyDescent="0.25">
      <c r="J7" t="s">
        <v>2</v>
      </c>
    </row>
    <row r="8" spans="3:11" ht="15.75" x14ac:dyDescent="0.25">
      <c r="C8" s="83" t="s">
        <v>26</v>
      </c>
      <c r="D8" s="83"/>
      <c r="E8" s="83"/>
      <c r="F8" s="83"/>
      <c r="G8" s="83"/>
      <c r="H8" s="83"/>
      <c r="I8" s="83"/>
      <c r="J8" s="83"/>
    </row>
    <row r="9" spans="3:11" ht="120" x14ac:dyDescent="0.25">
      <c r="C9" s="19" t="s">
        <v>73</v>
      </c>
      <c r="D9" s="20" t="s">
        <v>55</v>
      </c>
      <c r="E9" s="20" t="s">
        <v>71</v>
      </c>
      <c r="F9" s="20" t="s">
        <v>27</v>
      </c>
      <c r="G9" s="20" t="s">
        <v>28</v>
      </c>
      <c r="H9" s="20" t="s">
        <v>29</v>
      </c>
      <c r="I9" s="19" t="s">
        <v>30</v>
      </c>
      <c r="J9" s="20" t="s">
        <v>25</v>
      </c>
    </row>
    <row r="10" spans="3:11" x14ac:dyDescent="0.25">
      <c r="C10" s="19" t="s">
        <v>74</v>
      </c>
      <c r="D10" s="20" t="s">
        <v>38</v>
      </c>
      <c r="E10" s="19" t="s">
        <v>56</v>
      </c>
      <c r="F10" s="20" t="s">
        <v>57</v>
      </c>
      <c r="G10" s="20" t="s">
        <v>58</v>
      </c>
      <c r="H10" s="20" t="s">
        <v>59</v>
      </c>
      <c r="I10" s="19" t="s">
        <v>60</v>
      </c>
      <c r="J10" s="20" t="s">
        <v>61</v>
      </c>
    </row>
    <row r="11" spans="3:11" x14ac:dyDescent="0.25">
      <c r="C11" s="4">
        <f>5.2*600</f>
        <v>3120</v>
      </c>
      <c r="D11" s="4">
        <f>2167.19+(2167.19*0.06)</f>
        <v>2297.2213999999999</v>
      </c>
      <c r="E11" s="4">
        <v>1493.37</v>
      </c>
      <c r="F11" s="4">
        <f>D11+E11</f>
        <v>3790.5913999999998</v>
      </c>
      <c r="G11" s="4">
        <f>F11-C11</f>
        <v>670.59139999999979</v>
      </c>
      <c r="H11" s="4">
        <f>D11-G11</f>
        <v>1626.63</v>
      </c>
      <c r="I11" s="4">
        <f>0.04*C11</f>
        <v>124.8</v>
      </c>
      <c r="J11" s="7">
        <f>H11-I11</f>
        <v>1501.8300000000002</v>
      </c>
      <c r="K11" s="34"/>
    </row>
    <row r="12" spans="3:11" x14ac:dyDescent="0.25">
      <c r="C12" s="34">
        <f>'4th Unit Soft Cost'!B11</f>
        <v>720</v>
      </c>
      <c r="E12" s="34">
        <f>'4th Unit Soft Cost'!D11</f>
        <v>1681.88</v>
      </c>
    </row>
    <row r="13" spans="3:11" x14ac:dyDescent="0.25">
      <c r="C13" s="34">
        <f>SUM(C11:C12)</f>
        <v>3840</v>
      </c>
      <c r="E13" s="34">
        <f>SUM(E11:E12)</f>
        <v>3175.25</v>
      </c>
    </row>
    <row r="14" spans="3:11" x14ac:dyDescent="0.25">
      <c r="C14" s="34">
        <f>C13/600</f>
        <v>6.4</v>
      </c>
      <c r="E14" s="34">
        <f>E13/600</f>
        <v>5.2920833333333333</v>
      </c>
    </row>
    <row r="16" spans="3:11" ht="30" x14ac:dyDescent="0.25">
      <c r="K16" s="19" t="s">
        <v>32</v>
      </c>
    </row>
    <row r="17" spans="1:19" s="41" customFormat="1" ht="14.25" x14ac:dyDescent="0.2">
      <c r="C17" s="41">
        <f>7*600*3</f>
        <v>12600</v>
      </c>
      <c r="D17" s="39">
        <v>4559.66</v>
      </c>
      <c r="E17" s="42">
        <v>8693.3230000000003</v>
      </c>
      <c r="F17" s="41">
        <f>E17+D17</f>
        <v>13252.983</v>
      </c>
      <c r="G17" s="41">
        <f>F17-C17</f>
        <v>652.98300000000017</v>
      </c>
      <c r="H17" s="41">
        <f>D17-G17</f>
        <v>3906.6769999999997</v>
      </c>
      <c r="I17" s="41">
        <f>C17*0.04</f>
        <v>504</v>
      </c>
      <c r="J17" s="41">
        <f>H17-I17</f>
        <v>3402.6769999999997</v>
      </c>
      <c r="K17" s="41">
        <f>J17*40%</f>
        <v>1361.0708</v>
      </c>
      <c r="L17" s="43">
        <f>K17/D17</f>
        <v>0.29850269537640967</v>
      </c>
    </row>
    <row r="18" spans="1:19" x14ac:dyDescent="0.25">
      <c r="D18" s="44">
        <f>D17/C17</f>
        <v>0.36187777777777774</v>
      </c>
      <c r="K18" s="40">
        <v>1474.2166211827766</v>
      </c>
    </row>
    <row r="19" spans="1:19" x14ac:dyDescent="0.25">
      <c r="D19" s="44">
        <v>0.21299999999999999</v>
      </c>
      <c r="K19" s="36">
        <v>357.31059000000005</v>
      </c>
    </row>
    <row r="20" spans="1:19" x14ac:dyDescent="0.25">
      <c r="D20" s="35">
        <f>D18-D19</f>
        <v>0.14887777777777775</v>
      </c>
      <c r="K20" s="45">
        <v>6306.4648017919417</v>
      </c>
    </row>
    <row r="21" spans="1:19" ht="15.75" thickBot="1" x14ac:dyDescent="0.3">
      <c r="K21" s="46">
        <f>SUM(K17:K20)</f>
        <v>9499.0628129747183</v>
      </c>
    </row>
    <row r="22" spans="1:19" ht="15.75" thickBot="1" x14ac:dyDescent="0.3">
      <c r="Q22" s="48">
        <v>172.58</v>
      </c>
      <c r="S22" s="48">
        <v>172.58</v>
      </c>
    </row>
    <row r="23" spans="1:19" ht="30.75" thickBot="1" x14ac:dyDescent="0.3">
      <c r="B23" s="82" t="s">
        <v>96</v>
      </c>
      <c r="C23" s="82" t="s">
        <v>97</v>
      </c>
      <c r="D23" s="54" t="s">
        <v>98</v>
      </c>
      <c r="E23">
        <v>4569.07</v>
      </c>
      <c r="F23" s="38">
        <f>E23-D25</f>
        <v>9.4099999999998545</v>
      </c>
      <c r="K23" s="38"/>
      <c r="Q23" s="50">
        <v>2006.94</v>
      </c>
      <c r="S23" s="50">
        <v>1508.61</v>
      </c>
    </row>
    <row r="24" spans="1:19" ht="45.75" thickBot="1" x14ac:dyDescent="0.3">
      <c r="A24" t="s">
        <v>92</v>
      </c>
      <c r="B24" s="52" t="s">
        <v>73</v>
      </c>
      <c r="C24" s="52" t="s">
        <v>102</v>
      </c>
      <c r="D24" s="59">
        <f>5.7*600*3</f>
        <v>10260</v>
      </c>
      <c r="E24" s="38">
        <f>D24/0.9</f>
        <v>11400</v>
      </c>
      <c r="G24" s="36">
        <f>5.7/0.9</f>
        <v>6.333333333333333</v>
      </c>
      <c r="Q24" s="51">
        <v>5.63</v>
      </c>
      <c r="S24" s="51" t="s">
        <v>89</v>
      </c>
    </row>
    <row r="25" spans="1:19" ht="30.75" thickBot="1" x14ac:dyDescent="0.3">
      <c r="A25" t="s">
        <v>38</v>
      </c>
      <c r="B25" s="52" t="s">
        <v>55</v>
      </c>
      <c r="C25" s="52" t="s">
        <v>38</v>
      </c>
      <c r="D25" s="59">
        <f>D17</f>
        <v>4559.66</v>
      </c>
      <c r="E25" s="38">
        <f>D24-D26</f>
        <v>1566.6769999999997</v>
      </c>
      <c r="F25" s="38">
        <f>D25-E25</f>
        <v>2992.9830000000002</v>
      </c>
      <c r="Q25" s="50">
        <v>13532.03</v>
      </c>
      <c r="S25" s="50">
        <v>10036.030000000001</v>
      </c>
    </row>
    <row r="26" spans="1:19" ht="60.75" thickBot="1" x14ac:dyDescent="0.3">
      <c r="A26" t="s">
        <v>56</v>
      </c>
      <c r="B26" s="52" t="s">
        <v>112</v>
      </c>
      <c r="C26" s="52" t="s">
        <v>56</v>
      </c>
      <c r="D26" s="59">
        <f>E17</f>
        <v>8693.3230000000003</v>
      </c>
      <c r="H26" t="s">
        <v>86</v>
      </c>
      <c r="I26" t="s">
        <v>87</v>
      </c>
      <c r="Q26" s="51">
        <v>323.24</v>
      </c>
      <c r="S26" s="51">
        <v>246.34</v>
      </c>
    </row>
    <row r="27" spans="1:19" ht="45.75" thickBot="1" x14ac:dyDescent="0.3">
      <c r="A27" t="s">
        <v>93</v>
      </c>
      <c r="B27" s="52" t="s">
        <v>91</v>
      </c>
      <c r="C27" s="52" t="s">
        <v>57</v>
      </c>
      <c r="D27" s="59">
        <f>D26+D25</f>
        <v>13252.983</v>
      </c>
      <c r="F27" t="s">
        <v>80</v>
      </c>
      <c r="G27" s="36">
        <v>434.15</v>
      </c>
      <c r="H27" s="36">
        <f>I27</f>
        <v>357.31059000000005</v>
      </c>
      <c r="I27" s="36">
        <f>K19</f>
        <v>357.31059000000005</v>
      </c>
      <c r="Q27" s="51">
        <v>3.74</v>
      </c>
      <c r="S27" s="51">
        <v>0.66</v>
      </c>
    </row>
    <row r="28" spans="1:19" ht="15.75" thickBot="1" x14ac:dyDescent="0.3">
      <c r="A28" t="s">
        <v>94</v>
      </c>
      <c r="B28" s="52" t="s">
        <v>28</v>
      </c>
      <c r="C28" s="52" t="s">
        <v>58</v>
      </c>
      <c r="D28" s="59">
        <f>D27-D24</f>
        <v>2992.9830000000002</v>
      </c>
      <c r="F28" t="s">
        <v>81</v>
      </c>
      <c r="G28" s="36">
        <v>1173.29</v>
      </c>
      <c r="H28" s="36">
        <v>2241.3080638930201</v>
      </c>
      <c r="I28" s="36">
        <f>K18</f>
        <v>1474.2166211827766</v>
      </c>
      <c r="J28" s="36" t="s">
        <v>88</v>
      </c>
      <c r="Q28" s="51">
        <v>1.71</v>
      </c>
      <c r="S28" s="51">
        <v>0.54</v>
      </c>
    </row>
    <row r="29" spans="1:19" ht="30.75" thickBot="1" x14ac:dyDescent="0.3">
      <c r="A29" t="s">
        <v>53</v>
      </c>
      <c r="B29" s="52" t="s">
        <v>29</v>
      </c>
      <c r="C29" s="52" t="s">
        <v>59</v>
      </c>
      <c r="D29" s="59">
        <f>D25-D28</f>
        <v>1566.6769999999997</v>
      </c>
      <c r="F29" t="s">
        <v>82</v>
      </c>
      <c r="G29" s="36">
        <f>H45</f>
        <v>8863.89</v>
      </c>
      <c r="H29" s="36">
        <v>16711.390799140856</v>
      </c>
      <c r="I29" s="36">
        <v>6492.4287734330564</v>
      </c>
      <c r="J29" s="36">
        <v>13988.3478260869</v>
      </c>
      <c r="Q29" s="51">
        <v>5.87</v>
      </c>
      <c r="S29" s="51">
        <v>0.13</v>
      </c>
    </row>
    <row r="30" spans="1:19" ht="15.75" thickBot="1" x14ac:dyDescent="0.3">
      <c r="A30" t="s">
        <v>95</v>
      </c>
      <c r="B30" s="8" t="s">
        <v>99</v>
      </c>
      <c r="C30" s="8"/>
      <c r="D30" s="58">
        <v>173.98</v>
      </c>
      <c r="F30" t="s">
        <v>83</v>
      </c>
      <c r="G30" s="36">
        <f>SUM(G40:G43)</f>
        <v>2358.88</v>
      </c>
      <c r="H30" s="36">
        <f>I30</f>
        <v>1361.0708</v>
      </c>
      <c r="I30" s="36">
        <f>K17</f>
        <v>1361.0708</v>
      </c>
      <c r="Q30" s="51">
        <v>1.23</v>
      </c>
      <c r="S30" s="51">
        <v>0.27</v>
      </c>
    </row>
    <row r="31" spans="1:19" ht="15.75" thickBot="1" x14ac:dyDescent="0.3">
      <c r="B31" s="8"/>
      <c r="C31" s="8"/>
      <c r="D31" s="58">
        <f>D29-D30</f>
        <v>1392.6969999999997</v>
      </c>
      <c r="G31" s="36"/>
      <c r="H31" s="36"/>
      <c r="I31" s="36"/>
      <c r="Q31" s="51"/>
      <c r="S31" s="51"/>
    </row>
    <row r="32" spans="1:19" ht="30.75" thickBot="1" x14ac:dyDescent="0.3">
      <c r="B32" s="52" t="s">
        <v>113</v>
      </c>
      <c r="C32" s="52" t="s">
        <v>101</v>
      </c>
      <c r="D32" s="81">
        <f>D31*0.5</f>
        <v>696.34849999999983</v>
      </c>
      <c r="G32" s="47">
        <f>SUM(G27:G30)</f>
        <v>12830.21</v>
      </c>
      <c r="H32" s="47">
        <f t="shared" ref="H32:I32" si="0">SUM(H27:H30)</f>
        <v>20671.080253033877</v>
      </c>
      <c r="I32" s="47">
        <f t="shared" si="0"/>
        <v>9685.0267846158331</v>
      </c>
      <c r="Q32" s="51">
        <v>0.02</v>
      </c>
      <c r="S32" s="51" t="s">
        <v>89</v>
      </c>
    </row>
    <row r="33" spans="2:19" ht="15.75" thickBot="1" x14ac:dyDescent="0.3">
      <c r="D33" s="38"/>
      <c r="H33" s="38"/>
      <c r="Q33" s="50">
        <v>4559.66</v>
      </c>
      <c r="S33" s="49">
        <f>Q33</f>
        <v>4559.66</v>
      </c>
    </row>
    <row r="34" spans="2:19" x14ac:dyDescent="0.25">
      <c r="G34" s="38">
        <f>G29/1800</f>
        <v>4.9243833333333331</v>
      </c>
      <c r="H34" s="38">
        <f>H29/1800</f>
        <v>9.2841059995226978</v>
      </c>
      <c r="I34" s="38">
        <f>I29/1800</f>
        <v>3.606904874129476</v>
      </c>
      <c r="J34" s="38">
        <f>J29/1800</f>
        <v>7.7713043478260557</v>
      </c>
      <c r="S34">
        <f>SUM(S22:S33)</f>
        <v>16524.82</v>
      </c>
    </row>
    <row r="35" spans="2:19" x14ac:dyDescent="0.25">
      <c r="C35" s="38">
        <f>D25-D28</f>
        <v>1566.6769999999997</v>
      </c>
    </row>
    <row r="36" spans="2:19" x14ac:dyDescent="0.25">
      <c r="C36" s="38">
        <f>D30</f>
        <v>173.98</v>
      </c>
      <c r="D36">
        <v>602</v>
      </c>
    </row>
    <row r="37" spans="2:19" x14ac:dyDescent="0.25">
      <c r="C37" s="38">
        <f>C35-C36</f>
        <v>1392.6969999999997</v>
      </c>
      <c r="D37" s="56" t="s">
        <v>100</v>
      </c>
    </row>
    <row r="38" spans="2:19" x14ac:dyDescent="0.25">
      <c r="B38" s="38">
        <f>C37*0.3</f>
        <v>417.80909999999989</v>
      </c>
      <c r="C38" s="38">
        <f>C37*0.5</f>
        <v>696.34849999999983</v>
      </c>
      <c r="F38" t="s">
        <v>84</v>
      </c>
      <c r="G38">
        <v>434.15</v>
      </c>
    </row>
    <row r="39" spans="2:19" x14ac:dyDescent="0.25">
      <c r="F39" t="s">
        <v>85</v>
      </c>
      <c r="G39">
        <v>1173.29</v>
      </c>
    </row>
    <row r="40" spans="2:19" x14ac:dyDescent="0.25">
      <c r="F40" t="s">
        <v>83</v>
      </c>
      <c r="G40">
        <v>1559.48</v>
      </c>
    </row>
    <row r="41" spans="2:19" x14ac:dyDescent="0.25">
      <c r="F41" t="s">
        <v>83</v>
      </c>
      <c r="G41">
        <v>377.6</v>
      </c>
    </row>
    <row r="42" spans="2:19" x14ac:dyDescent="0.25">
      <c r="F42" t="s">
        <v>83</v>
      </c>
      <c r="G42">
        <v>236.4</v>
      </c>
    </row>
    <row r="43" spans="2:19" x14ac:dyDescent="0.25">
      <c r="F43" t="s">
        <v>83</v>
      </c>
      <c r="G43">
        <v>185.4</v>
      </c>
    </row>
    <row r="44" spans="2:19" x14ac:dyDescent="0.25">
      <c r="G44">
        <f>SUM(G38:G43)</f>
        <v>3966.32</v>
      </c>
    </row>
    <row r="45" spans="2:19" x14ac:dyDescent="0.25">
      <c r="G45">
        <v>12830.21</v>
      </c>
      <c r="H45">
        <f>G45-G44</f>
        <v>8863.89</v>
      </c>
    </row>
    <row r="46" spans="2:19" x14ac:dyDescent="0.25">
      <c r="H46">
        <v>8210.530403586281</v>
      </c>
      <c r="I46">
        <f>H45-H46</f>
        <v>653.35959641371846</v>
      </c>
    </row>
  </sheetData>
  <mergeCells count="1">
    <mergeCell ref="C8:J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S46"/>
  <sheetViews>
    <sheetView topLeftCell="A19" workbookViewId="0">
      <selection activeCell="D25" sqref="D25"/>
    </sheetView>
  </sheetViews>
  <sheetFormatPr defaultRowHeight="15" x14ac:dyDescent="0.25"/>
  <cols>
    <col min="2" max="2" width="41.28515625" customWidth="1"/>
    <col min="3" max="3" width="18.5703125" customWidth="1"/>
    <col min="4" max="4" width="21.7109375" customWidth="1"/>
    <col min="5" max="5" width="23.42578125" customWidth="1"/>
    <col min="6" max="6" width="23.5703125" customWidth="1"/>
    <col min="7" max="7" width="16.7109375" customWidth="1"/>
    <col min="8" max="8" width="18.28515625" customWidth="1"/>
    <col min="9" max="9" width="16.42578125" customWidth="1"/>
    <col min="10" max="10" width="24.5703125" customWidth="1"/>
    <col min="11" max="11" width="24.85546875" customWidth="1"/>
  </cols>
  <sheetData>
    <row r="7" spans="3:11" x14ac:dyDescent="0.25">
      <c r="J7" t="s">
        <v>2</v>
      </c>
    </row>
    <row r="8" spans="3:11" ht="15.75" x14ac:dyDescent="0.25">
      <c r="C8" s="83" t="s">
        <v>26</v>
      </c>
      <c r="D8" s="83"/>
      <c r="E8" s="83"/>
      <c r="F8" s="83"/>
      <c r="G8" s="83"/>
      <c r="H8" s="83"/>
      <c r="I8" s="83"/>
      <c r="J8" s="83"/>
    </row>
    <row r="9" spans="3:11" ht="120" x14ac:dyDescent="0.25">
      <c r="C9" s="19" t="s">
        <v>73</v>
      </c>
      <c r="D9" s="20" t="s">
        <v>55</v>
      </c>
      <c r="E9" s="20" t="s">
        <v>71</v>
      </c>
      <c r="F9" s="20" t="s">
        <v>27</v>
      </c>
      <c r="G9" s="20" t="s">
        <v>28</v>
      </c>
      <c r="H9" s="20" t="s">
        <v>29</v>
      </c>
      <c r="I9" s="19" t="s">
        <v>30</v>
      </c>
      <c r="J9" s="20" t="s">
        <v>25</v>
      </c>
    </row>
    <row r="10" spans="3:11" x14ac:dyDescent="0.25">
      <c r="C10" s="19" t="s">
        <v>74</v>
      </c>
      <c r="D10" s="20" t="s">
        <v>38</v>
      </c>
      <c r="E10" s="19" t="s">
        <v>56</v>
      </c>
      <c r="F10" s="20" t="s">
        <v>57</v>
      </c>
      <c r="G10" s="20" t="s">
        <v>58</v>
      </c>
      <c r="H10" s="20" t="s">
        <v>59</v>
      </c>
      <c r="I10" s="19" t="s">
        <v>60</v>
      </c>
      <c r="J10" s="20" t="s">
        <v>61</v>
      </c>
    </row>
    <row r="11" spans="3:11" x14ac:dyDescent="0.25">
      <c r="C11" s="4">
        <f>5.2*600</f>
        <v>3120</v>
      </c>
      <c r="D11" s="4">
        <f>2167.19+(2167.19*0.06)</f>
        <v>2297.2213999999999</v>
      </c>
      <c r="E11" s="4">
        <v>1493.37</v>
      </c>
      <c r="F11" s="4">
        <f>D11+E11</f>
        <v>3790.5913999999998</v>
      </c>
      <c r="G11" s="4">
        <f>F11-C11</f>
        <v>670.59139999999979</v>
      </c>
      <c r="H11" s="4">
        <f>D11-G11</f>
        <v>1626.63</v>
      </c>
      <c r="I11" s="4">
        <f>0.04*C11</f>
        <v>124.8</v>
      </c>
      <c r="J11" s="7">
        <f>H11-I11</f>
        <v>1501.8300000000002</v>
      </c>
      <c r="K11" s="34"/>
    </row>
    <row r="12" spans="3:11" x14ac:dyDescent="0.25">
      <c r="C12" s="34">
        <f>'4th Unit Soft Cost'!B11</f>
        <v>720</v>
      </c>
      <c r="E12" s="34">
        <f>'4th Unit Soft Cost'!D11</f>
        <v>1681.88</v>
      </c>
    </row>
    <row r="13" spans="3:11" x14ac:dyDescent="0.25">
      <c r="C13" s="34">
        <f>SUM(C11:C12)</f>
        <v>3840</v>
      </c>
      <c r="E13" s="34">
        <f>SUM(E11:E12)</f>
        <v>3175.25</v>
      </c>
    </row>
    <row r="14" spans="3:11" x14ac:dyDescent="0.25">
      <c r="C14" s="34">
        <f>C13/600</f>
        <v>6.4</v>
      </c>
      <c r="E14" s="34">
        <f>E13/600</f>
        <v>5.2920833333333333</v>
      </c>
    </row>
    <row r="16" spans="3:11" ht="30" x14ac:dyDescent="0.25">
      <c r="K16" s="19" t="s">
        <v>32</v>
      </c>
    </row>
    <row r="17" spans="1:19" s="41" customFormat="1" ht="14.25" x14ac:dyDescent="0.2">
      <c r="C17" s="41">
        <f>7*600*3</f>
        <v>12600</v>
      </c>
      <c r="D17" s="39">
        <v>4559.66</v>
      </c>
      <c r="E17" s="42">
        <v>8693.3230000000003</v>
      </c>
      <c r="F17" s="41">
        <f>E17+D17</f>
        <v>13252.983</v>
      </c>
      <c r="G17" s="41">
        <f>F17-C17</f>
        <v>652.98300000000017</v>
      </c>
      <c r="H17" s="41">
        <f>D17-G17</f>
        <v>3906.6769999999997</v>
      </c>
      <c r="I17" s="41">
        <f>C17*0.04</f>
        <v>504</v>
      </c>
      <c r="J17" s="41">
        <f>H17-I17</f>
        <v>3402.6769999999997</v>
      </c>
      <c r="K17" s="41">
        <f>J17*40%</f>
        <v>1361.0708</v>
      </c>
      <c r="L17" s="43">
        <f>K17/D17</f>
        <v>0.29850269537640967</v>
      </c>
    </row>
    <row r="18" spans="1:19" x14ac:dyDescent="0.25">
      <c r="D18" s="44">
        <f>D17/C17</f>
        <v>0.36187777777777774</v>
      </c>
      <c r="K18" s="40">
        <v>1474.2166211827766</v>
      </c>
    </row>
    <row r="19" spans="1:19" x14ac:dyDescent="0.25">
      <c r="D19" s="44">
        <v>0.21299999999999999</v>
      </c>
      <c r="K19" s="36">
        <v>357.31059000000005</v>
      </c>
    </row>
    <row r="20" spans="1:19" x14ac:dyDescent="0.25">
      <c r="D20" s="35">
        <f>D18-D19</f>
        <v>0.14887777777777775</v>
      </c>
      <c r="K20" s="45">
        <v>6306.4648017919417</v>
      </c>
    </row>
    <row r="21" spans="1:19" ht="15.75" thickBot="1" x14ac:dyDescent="0.3">
      <c r="K21" s="46">
        <f>SUM(K17:K20)</f>
        <v>9499.0628129747183</v>
      </c>
    </row>
    <row r="22" spans="1:19" ht="15.75" thickBot="1" x14ac:dyDescent="0.3">
      <c r="Q22" s="48">
        <v>172.58</v>
      </c>
      <c r="S22" s="48">
        <v>172.58</v>
      </c>
    </row>
    <row r="23" spans="1:19" ht="30.75" thickBot="1" x14ac:dyDescent="0.3">
      <c r="B23" s="82" t="s">
        <v>96</v>
      </c>
      <c r="C23" s="82" t="s">
        <v>97</v>
      </c>
      <c r="D23" s="54" t="s">
        <v>98</v>
      </c>
      <c r="E23">
        <v>4569.07</v>
      </c>
      <c r="F23" s="38">
        <f>E23-D25</f>
        <v>9.4099999999998545</v>
      </c>
      <c r="K23" s="38"/>
      <c r="Q23" s="50">
        <v>2006.94</v>
      </c>
      <c r="S23" s="50">
        <v>1508.61</v>
      </c>
    </row>
    <row r="24" spans="1:19" ht="45.75" thickBot="1" x14ac:dyDescent="0.3">
      <c r="A24" t="s">
        <v>92</v>
      </c>
      <c r="B24" s="52" t="s">
        <v>73</v>
      </c>
      <c r="C24" s="52" t="s">
        <v>102</v>
      </c>
      <c r="D24" s="59">
        <f>6.4*600*3</f>
        <v>11520</v>
      </c>
      <c r="E24" s="38">
        <f>D24/0.9</f>
        <v>12800</v>
      </c>
      <c r="G24" s="36">
        <f>5.7/0.9</f>
        <v>6.333333333333333</v>
      </c>
      <c r="Q24" s="51">
        <v>5.63</v>
      </c>
      <c r="S24" s="51" t="s">
        <v>89</v>
      </c>
    </row>
    <row r="25" spans="1:19" ht="30.75" thickBot="1" x14ac:dyDescent="0.3">
      <c r="A25" t="s">
        <v>38</v>
      </c>
      <c r="B25" s="52" t="s">
        <v>55</v>
      </c>
      <c r="C25" s="52" t="s">
        <v>38</v>
      </c>
      <c r="D25" s="59">
        <f>D17</f>
        <v>4559.66</v>
      </c>
      <c r="E25" s="38">
        <f>D24-D26</f>
        <v>2826.6769999999997</v>
      </c>
      <c r="F25" s="38">
        <f>D25-E25</f>
        <v>1732.9830000000002</v>
      </c>
      <c r="Q25" s="50">
        <v>13532.03</v>
      </c>
      <c r="S25" s="50">
        <v>10036.030000000001</v>
      </c>
    </row>
    <row r="26" spans="1:19" ht="60.75" thickBot="1" x14ac:dyDescent="0.3">
      <c r="A26" t="s">
        <v>56</v>
      </c>
      <c r="B26" s="52" t="s">
        <v>112</v>
      </c>
      <c r="C26" s="52" t="s">
        <v>56</v>
      </c>
      <c r="D26" s="59">
        <f>E17</f>
        <v>8693.3230000000003</v>
      </c>
      <c r="H26" t="s">
        <v>86</v>
      </c>
      <c r="I26" t="s">
        <v>87</v>
      </c>
      <c r="Q26" s="51">
        <v>323.24</v>
      </c>
      <c r="S26" s="51">
        <v>246.34</v>
      </c>
    </row>
    <row r="27" spans="1:19" ht="45.75" thickBot="1" x14ac:dyDescent="0.3">
      <c r="A27" t="s">
        <v>93</v>
      </c>
      <c r="B27" s="52" t="s">
        <v>91</v>
      </c>
      <c r="C27" s="52" t="s">
        <v>57</v>
      </c>
      <c r="D27" s="59">
        <f>D26+D25</f>
        <v>13252.983</v>
      </c>
      <c r="F27" t="s">
        <v>80</v>
      </c>
      <c r="G27" s="36">
        <v>434.15</v>
      </c>
      <c r="H27" s="36">
        <f>I27</f>
        <v>357.31059000000005</v>
      </c>
      <c r="I27" s="36">
        <f>K19</f>
        <v>357.31059000000005</v>
      </c>
      <c r="Q27" s="51">
        <v>3.74</v>
      </c>
      <c r="S27" s="51">
        <v>0.66</v>
      </c>
    </row>
    <row r="28" spans="1:19" ht="15.75" thickBot="1" x14ac:dyDescent="0.3">
      <c r="A28" t="s">
        <v>94</v>
      </c>
      <c r="B28" s="52" t="s">
        <v>28</v>
      </c>
      <c r="C28" s="52" t="s">
        <v>58</v>
      </c>
      <c r="D28" s="59">
        <f>D27-D24</f>
        <v>1732.9830000000002</v>
      </c>
      <c r="F28" t="s">
        <v>81</v>
      </c>
      <c r="G28" s="36">
        <v>1173.29</v>
      </c>
      <c r="H28" s="36">
        <v>2241.3080638930201</v>
      </c>
      <c r="I28" s="36">
        <f>K18</f>
        <v>1474.2166211827766</v>
      </c>
      <c r="J28" s="36" t="s">
        <v>88</v>
      </c>
      <c r="Q28" s="51">
        <v>1.71</v>
      </c>
      <c r="S28" s="51">
        <v>0.54</v>
      </c>
    </row>
    <row r="29" spans="1:19" ht="30.75" thickBot="1" x14ac:dyDescent="0.3">
      <c r="A29" t="s">
        <v>53</v>
      </c>
      <c r="B29" s="52" t="s">
        <v>29</v>
      </c>
      <c r="C29" s="52" t="s">
        <v>59</v>
      </c>
      <c r="D29" s="59">
        <f>D25-D28</f>
        <v>2826.6769999999997</v>
      </c>
      <c r="F29" t="s">
        <v>82</v>
      </c>
      <c r="G29" s="36">
        <f>H45</f>
        <v>8863.89</v>
      </c>
      <c r="H29" s="36">
        <v>16711.390799140856</v>
      </c>
      <c r="I29" s="36">
        <v>6492.4287734330564</v>
      </c>
      <c r="J29" s="36">
        <v>13988.3478260869</v>
      </c>
      <c r="Q29" s="51">
        <v>5.87</v>
      </c>
      <c r="S29" s="51">
        <v>0.13</v>
      </c>
    </row>
    <row r="30" spans="1:19" ht="15.75" thickBot="1" x14ac:dyDescent="0.3">
      <c r="A30" t="s">
        <v>95</v>
      </c>
      <c r="B30" s="8" t="s">
        <v>99</v>
      </c>
      <c r="C30" s="8"/>
      <c r="D30" s="58">
        <v>173.98</v>
      </c>
      <c r="F30" t="s">
        <v>83</v>
      </c>
      <c r="G30" s="36">
        <f>SUM(G40:G43)</f>
        <v>2358.88</v>
      </c>
      <c r="H30" s="36">
        <f>I30</f>
        <v>1361.0708</v>
      </c>
      <c r="I30" s="36">
        <f>K17</f>
        <v>1361.0708</v>
      </c>
      <c r="Q30" s="51">
        <v>1.23</v>
      </c>
      <c r="S30" s="51">
        <v>0.27</v>
      </c>
    </row>
    <row r="31" spans="1:19" ht="15.75" thickBot="1" x14ac:dyDescent="0.3">
      <c r="B31" s="8"/>
      <c r="C31" s="8"/>
      <c r="D31" s="58">
        <f>D29-D30</f>
        <v>2652.6969999999997</v>
      </c>
      <c r="G31" s="36"/>
      <c r="H31" s="36"/>
      <c r="I31" s="36"/>
      <c r="Q31" s="51"/>
      <c r="S31" s="51"/>
    </row>
    <row r="32" spans="1:19" ht="30.75" thickBot="1" x14ac:dyDescent="0.3">
      <c r="B32" s="52" t="s">
        <v>113</v>
      </c>
      <c r="C32" s="52" t="s">
        <v>101</v>
      </c>
      <c r="D32" s="81">
        <f>D31*0.5</f>
        <v>1326.3484999999998</v>
      </c>
      <c r="G32" s="47">
        <f>SUM(G27:G30)</f>
        <v>12830.21</v>
      </c>
      <c r="H32" s="47">
        <f t="shared" ref="H32:I32" si="0">SUM(H27:H30)</f>
        <v>20671.080253033877</v>
      </c>
      <c r="I32" s="47">
        <f t="shared" si="0"/>
        <v>9685.0267846158331</v>
      </c>
      <c r="Q32" s="51">
        <v>0.02</v>
      </c>
      <c r="S32" s="51" t="s">
        <v>89</v>
      </c>
    </row>
    <row r="33" spans="2:19" ht="15.75" thickBot="1" x14ac:dyDescent="0.3">
      <c r="D33" s="38"/>
      <c r="H33" s="38"/>
      <c r="Q33" s="50">
        <v>4559.66</v>
      </c>
      <c r="S33" s="49">
        <f>Q33</f>
        <v>4559.66</v>
      </c>
    </row>
    <row r="34" spans="2:19" x14ac:dyDescent="0.25">
      <c r="G34" s="38">
        <f>G29/1800</f>
        <v>4.9243833333333331</v>
      </c>
      <c r="H34" s="38">
        <f>H29/1800</f>
        <v>9.2841059995226978</v>
      </c>
      <c r="I34" s="38">
        <f>I29/1800</f>
        <v>3.606904874129476</v>
      </c>
      <c r="J34" s="38">
        <f>J29/1800</f>
        <v>7.7713043478260557</v>
      </c>
      <c r="S34">
        <f>SUM(S22:S33)</f>
        <v>16524.82</v>
      </c>
    </row>
    <row r="35" spans="2:19" x14ac:dyDescent="0.25">
      <c r="C35" s="38">
        <f>D25-D28</f>
        <v>2826.6769999999997</v>
      </c>
    </row>
    <row r="36" spans="2:19" x14ac:dyDescent="0.25">
      <c r="C36" s="38">
        <f>D30</f>
        <v>173.98</v>
      </c>
      <c r="D36">
        <v>602</v>
      </c>
    </row>
    <row r="37" spans="2:19" x14ac:dyDescent="0.25">
      <c r="C37" s="38">
        <f>C35-C36</f>
        <v>2652.6969999999997</v>
      </c>
      <c r="D37" s="56" t="s">
        <v>100</v>
      </c>
    </row>
    <row r="38" spans="2:19" x14ac:dyDescent="0.25">
      <c r="B38" s="38">
        <f>C37*0.3</f>
        <v>795.80909999999983</v>
      </c>
      <c r="C38" s="38">
        <f>C37*0.5</f>
        <v>1326.3484999999998</v>
      </c>
      <c r="F38" t="s">
        <v>84</v>
      </c>
      <c r="G38">
        <v>434.15</v>
      </c>
    </row>
    <row r="39" spans="2:19" x14ac:dyDescent="0.25">
      <c r="F39" t="s">
        <v>85</v>
      </c>
      <c r="G39">
        <v>1173.29</v>
      </c>
    </row>
    <row r="40" spans="2:19" x14ac:dyDescent="0.25">
      <c r="F40" t="s">
        <v>83</v>
      </c>
      <c r="G40">
        <v>1559.48</v>
      </c>
    </row>
    <row r="41" spans="2:19" x14ac:dyDescent="0.25">
      <c r="F41" t="s">
        <v>83</v>
      </c>
      <c r="G41">
        <v>377.6</v>
      </c>
    </row>
    <row r="42" spans="2:19" x14ac:dyDescent="0.25">
      <c r="F42" t="s">
        <v>83</v>
      </c>
      <c r="G42">
        <v>236.4</v>
      </c>
    </row>
    <row r="43" spans="2:19" x14ac:dyDescent="0.25">
      <c r="F43" t="s">
        <v>83</v>
      </c>
      <c r="G43">
        <v>185.4</v>
      </c>
    </row>
    <row r="44" spans="2:19" x14ac:dyDescent="0.25">
      <c r="G44">
        <f>SUM(G38:G43)</f>
        <v>3966.32</v>
      </c>
    </row>
    <row r="45" spans="2:19" x14ac:dyDescent="0.25">
      <c r="G45">
        <v>12830.21</v>
      </c>
      <c r="H45">
        <f>G45-G44</f>
        <v>8863.89</v>
      </c>
    </row>
    <row r="46" spans="2:19" x14ac:dyDescent="0.25">
      <c r="H46">
        <v>8210.530403586281</v>
      </c>
      <c r="I46">
        <f>H45-H46</f>
        <v>653.35959641371846</v>
      </c>
    </row>
  </sheetData>
  <mergeCells count="1">
    <mergeCell ref="C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35"/>
  <sheetViews>
    <sheetView workbookViewId="0">
      <selection activeCell="I4" sqref="I4"/>
    </sheetView>
  </sheetViews>
  <sheetFormatPr defaultRowHeight="15" x14ac:dyDescent="0.25"/>
  <cols>
    <col min="4" max="4" width="6.140625" style="13" bestFit="1" customWidth="1"/>
    <col min="5" max="5" width="25" bestFit="1" customWidth="1"/>
    <col min="6" max="6" width="7.42578125" style="36" bestFit="1" customWidth="1"/>
    <col min="7" max="7" width="9" style="36" bestFit="1" customWidth="1"/>
    <col min="8" max="8" width="7.42578125" style="36" bestFit="1" customWidth="1"/>
    <col min="9" max="9" width="9" style="36" bestFit="1" customWidth="1"/>
  </cols>
  <sheetData>
    <row r="2" spans="2:9" x14ac:dyDescent="0.25">
      <c r="D2" s="71" t="s">
        <v>111</v>
      </c>
      <c r="E2" s="71" t="s">
        <v>23</v>
      </c>
      <c r="F2" s="72" t="s">
        <v>103</v>
      </c>
      <c r="G2" s="72" t="s">
        <v>104</v>
      </c>
      <c r="H2" s="72" t="s">
        <v>105</v>
      </c>
      <c r="I2" s="72" t="s">
        <v>0</v>
      </c>
    </row>
    <row r="3" spans="2:9" x14ac:dyDescent="0.25">
      <c r="B3" s="60"/>
      <c r="D3" s="12">
        <v>1</v>
      </c>
      <c r="E3" s="73" t="s">
        <v>106</v>
      </c>
      <c r="F3" s="74">
        <v>311.05</v>
      </c>
      <c r="G3" s="74">
        <v>1467.82</v>
      </c>
      <c r="H3" s="74">
        <v>208.04</v>
      </c>
      <c r="I3" s="74">
        <f>SUM(F3:H3)</f>
        <v>1986.9099999999999</v>
      </c>
    </row>
    <row r="4" spans="2:9" ht="15.75" x14ac:dyDescent="0.25">
      <c r="B4" s="61"/>
      <c r="D4" s="12">
        <v>2</v>
      </c>
      <c r="E4" s="73" t="s">
        <v>107</v>
      </c>
      <c r="F4" s="75"/>
      <c r="G4" s="74">
        <v>173.98</v>
      </c>
      <c r="H4" s="75"/>
      <c r="I4" s="74">
        <v>173.98</v>
      </c>
    </row>
    <row r="5" spans="2:9" x14ac:dyDescent="0.25">
      <c r="B5" s="61"/>
      <c r="D5" s="12">
        <v>3</v>
      </c>
      <c r="E5" s="76" t="s">
        <v>108</v>
      </c>
      <c r="F5" s="53"/>
      <c r="G5" s="53"/>
      <c r="H5" s="53"/>
      <c r="I5" s="77">
        <v>580.91</v>
      </c>
    </row>
    <row r="6" spans="2:9" x14ac:dyDescent="0.25">
      <c r="B6" s="61"/>
      <c r="D6" s="12">
        <v>4</v>
      </c>
      <c r="E6" s="76" t="s">
        <v>109</v>
      </c>
      <c r="F6" s="53"/>
      <c r="G6" s="53"/>
      <c r="H6" s="53"/>
      <c r="I6" s="77">
        <v>1716.22</v>
      </c>
    </row>
    <row r="7" spans="2:9" x14ac:dyDescent="0.25">
      <c r="B7" s="61"/>
      <c r="D7" s="12">
        <v>5</v>
      </c>
      <c r="E7" s="78" t="s">
        <v>110</v>
      </c>
      <c r="F7" s="53"/>
      <c r="G7" s="53"/>
      <c r="H7" s="53"/>
      <c r="I7" s="79">
        <v>101.64</v>
      </c>
    </row>
    <row r="8" spans="2:9" x14ac:dyDescent="0.25">
      <c r="B8" s="61"/>
      <c r="D8" s="12"/>
      <c r="E8" s="80" t="s">
        <v>0</v>
      </c>
      <c r="F8" s="53">
        <f t="shared" ref="F8:H8" si="0">SUM(F3:F7)</f>
        <v>311.05</v>
      </c>
      <c r="G8" s="53">
        <f t="shared" si="0"/>
        <v>1641.8</v>
      </c>
      <c r="H8" s="53">
        <f t="shared" si="0"/>
        <v>208.04</v>
      </c>
      <c r="I8" s="53">
        <f>SUM(I3:I7)</f>
        <v>4559.66</v>
      </c>
    </row>
    <row r="9" spans="2:9" x14ac:dyDescent="0.25">
      <c r="B9" s="61"/>
    </row>
    <row r="10" spans="2:9" x14ac:dyDescent="0.25">
      <c r="B10" s="61"/>
    </row>
    <row r="11" spans="2:9" x14ac:dyDescent="0.25">
      <c r="B11" s="62"/>
    </row>
    <row r="12" spans="2:9" x14ac:dyDescent="0.25">
      <c r="B12" s="63"/>
    </row>
    <row r="13" spans="2:9" x14ac:dyDescent="0.25">
      <c r="B13" s="64"/>
    </row>
    <row r="14" spans="2:9" x14ac:dyDescent="0.25">
      <c r="B14" s="65"/>
    </row>
    <row r="15" spans="2:9" x14ac:dyDescent="0.25">
      <c r="B15" s="64"/>
    </row>
    <row r="16" spans="2:9" x14ac:dyDescent="0.25">
      <c r="B16" s="65"/>
    </row>
    <row r="17" spans="2:2" x14ac:dyDescent="0.25">
      <c r="B17" s="62"/>
    </row>
    <row r="18" spans="2:2" x14ac:dyDescent="0.25">
      <c r="B18" s="63"/>
    </row>
    <row r="19" spans="2:2" x14ac:dyDescent="0.25">
      <c r="B19" s="64"/>
    </row>
    <row r="20" spans="2:2" x14ac:dyDescent="0.25">
      <c r="B20" s="64"/>
    </row>
    <row r="21" spans="2:2" x14ac:dyDescent="0.25">
      <c r="B21" s="62"/>
    </row>
    <row r="22" spans="2:2" x14ac:dyDescent="0.25">
      <c r="B22" s="63"/>
    </row>
    <row r="23" spans="2:2" x14ac:dyDescent="0.25">
      <c r="B23" s="64"/>
    </row>
    <row r="24" spans="2:2" x14ac:dyDescent="0.25">
      <c r="B24" s="62"/>
    </row>
    <row r="25" spans="2:2" x14ac:dyDescent="0.25">
      <c r="B25" s="63"/>
    </row>
    <row r="26" spans="2:2" x14ac:dyDescent="0.25">
      <c r="B26" s="65"/>
    </row>
    <row r="27" spans="2:2" x14ac:dyDescent="0.25">
      <c r="B27" s="66"/>
    </row>
    <row r="28" spans="2:2" x14ac:dyDescent="0.25">
      <c r="B28" s="67"/>
    </row>
    <row r="29" spans="2:2" x14ac:dyDescent="0.25">
      <c r="B29" s="68"/>
    </row>
    <row r="30" spans="2:2" x14ac:dyDescent="0.25">
      <c r="B30" s="63"/>
    </row>
    <row r="31" spans="2:2" x14ac:dyDescent="0.25">
      <c r="B31" s="61"/>
    </row>
    <row r="32" spans="2:2" x14ac:dyDescent="0.25">
      <c r="B32" s="69"/>
    </row>
    <row r="33" spans="2:2" x14ac:dyDescent="0.25">
      <c r="B33" s="70"/>
    </row>
    <row r="34" spans="2:2" x14ac:dyDescent="0.25">
      <c r="B34" s="69"/>
    </row>
    <row r="35" spans="2:2" x14ac:dyDescent="0.25">
      <c r="B35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7:K17"/>
  <sheetViews>
    <sheetView workbookViewId="0">
      <selection activeCell="C11" sqref="C11"/>
    </sheetView>
  </sheetViews>
  <sheetFormatPr defaultRowHeight="15" x14ac:dyDescent="0.25"/>
  <cols>
    <col min="2" max="2" width="20.5703125" customWidth="1"/>
    <col min="3" max="3" width="23.5703125" customWidth="1"/>
    <col min="4" max="4" width="23.42578125" customWidth="1"/>
    <col min="5" max="5" width="19.85546875" customWidth="1"/>
    <col min="6" max="6" width="21.7109375" customWidth="1"/>
    <col min="7" max="7" width="20.7109375" customWidth="1"/>
    <col min="8" max="8" width="20.85546875" customWidth="1"/>
    <col min="10" max="10" width="11.5703125" bestFit="1" customWidth="1"/>
  </cols>
  <sheetData>
    <row r="7" spans="2:11" x14ac:dyDescent="0.25">
      <c r="B7" s="87" t="s">
        <v>2</v>
      </c>
      <c r="C7" s="87"/>
      <c r="D7" s="87"/>
      <c r="E7" s="87"/>
      <c r="F7" s="87"/>
      <c r="G7" s="87"/>
      <c r="H7" s="87"/>
    </row>
    <row r="8" spans="2:11" ht="31.9" customHeight="1" x14ac:dyDescent="0.25">
      <c r="B8" s="84" t="s">
        <v>1</v>
      </c>
      <c r="C8" s="85"/>
      <c r="D8" s="85"/>
      <c r="E8" s="85"/>
      <c r="F8" s="85"/>
      <c r="G8" s="85"/>
      <c r="H8" s="86"/>
    </row>
    <row r="9" spans="2:11" ht="65.45" customHeight="1" x14ac:dyDescent="0.25">
      <c r="B9" s="19" t="s">
        <v>44</v>
      </c>
      <c r="C9" s="19" t="s">
        <v>45</v>
      </c>
      <c r="D9" s="15" t="s">
        <v>76</v>
      </c>
      <c r="E9" s="19" t="s">
        <v>46</v>
      </c>
      <c r="F9" s="19" t="s">
        <v>47</v>
      </c>
      <c r="G9" s="19" t="s">
        <v>48</v>
      </c>
      <c r="H9" s="19" t="s">
        <v>49</v>
      </c>
    </row>
    <row r="10" spans="2:11" x14ac:dyDescent="0.25">
      <c r="B10" s="2" t="s">
        <v>50</v>
      </c>
      <c r="C10" s="2" t="s">
        <v>38</v>
      </c>
      <c r="D10" s="2" t="s">
        <v>51</v>
      </c>
      <c r="E10" s="23" t="s">
        <v>77</v>
      </c>
      <c r="F10" s="23" t="s">
        <v>52</v>
      </c>
      <c r="G10" s="23" t="s">
        <v>53</v>
      </c>
      <c r="H10" s="23" t="s">
        <v>54</v>
      </c>
    </row>
    <row r="11" spans="2:11" ht="24.6" customHeight="1" x14ac:dyDescent="0.25">
      <c r="B11" s="4">
        <f>1.2*600</f>
        <v>720</v>
      </c>
      <c r="C11" s="5">
        <v>2401.88</v>
      </c>
      <c r="D11" s="4">
        <f>C11-B11</f>
        <v>1681.88</v>
      </c>
      <c r="E11" s="4">
        <f>D11/5.44</f>
        <v>309.16911764705884</v>
      </c>
      <c r="F11" s="6">
        <f>B11+E11</f>
        <v>1029.1691176470588</v>
      </c>
      <c r="G11" s="22">
        <v>0.3669</v>
      </c>
      <c r="H11" s="7">
        <f>G11*F11</f>
        <v>377.60214926470587</v>
      </c>
    </row>
    <row r="15" spans="2:11" x14ac:dyDescent="0.25">
      <c r="H15" s="34">
        <f>H11+'4th Unit Capital Cost'!J11+'6th Unit Capex'!H11+Sheet2!H11</f>
        <v>2301.2321492647061</v>
      </c>
      <c r="I15" s="35">
        <v>0.21299999999999999</v>
      </c>
    </row>
    <row r="16" spans="2:11" x14ac:dyDescent="0.25">
      <c r="H16" s="34">
        <f>H15/1800</f>
        <v>1.2784623051470589</v>
      </c>
      <c r="J16" s="37">
        <f>100%*H15/I15</f>
        <v>10803.906804059654</v>
      </c>
      <c r="K16" s="36">
        <f>J16/1800</f>
        <v>6.0021704466998074</v>
      </c>
    </row>
    <row r="17" spans="10:10" x14ac:dyDescent="0.25">
      <c r="J17" s="38">
        <f>J16-H15</f>
        <v>8502.6746547949479</v>
      </c>
    </row>
  </sheetData>
  <mergeCells count="2">
    <mergeCell ref="B8:H8"/>
    <mergeCell ref="B7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S45"/>
  <sheetViews>
    <sheetView topLeftCell="A19" workbookViewId="0">
      <selection activeCell="D25" sqref="D25"/>
    </sheetView>
  </sheetViews>
  <sheetFormatPr defaultRowHeight="15" x14ac:dyDescent="0.25"/>
  <cols>
    <col min="2" max="2" width="41.28515625" customWidth="1"/>
    <col min="3" max="3" width="18.5703125" customWidth="1"/>
    <col min="4" max="4" width="21.7109375" customWidth="1"/>
    <col min="5" max="5" width="23.42578125" customWidth="1"/>
    <col min="6" max="6" width="23.5703125" customWidth="1"/>
    <col min="7" max="7" width="16.7109375" customWidth="1"/>
    <col min="8" max="8" width="18.28515625" customWidth="1"/>
    <col min="9" max="9" width="16.42578125" customWidth="1"/>
    <col min="10" max="10" width="24.5703125" customWidth="1"/>
    <col min="11" max="11" width="24.85546875" customWidth="1"/>
  </cols>
  <sheetData>
    <row r="7" spans="3:11" x14ac:dyDescent="0.25">
      <c r="J7" t="s">
        <v>2</v>
      </c>
    </row>
    <row r="8" spans="3:11" ht="15.75" x14ac:dyDescent="0.25">
      <c r="C8" s="83" t="s">
        <v>26</v>
      </c>
      <c r="D8" s="83"/>
      <c r="E8" s="83"/>
      <c r="F8" s="83"/>
      <c r="G8" s="83"/>
      <c r="H8" s="83"/>
      <c r="I8" s="83"/>
      <c r="J8" s="83"/>
    </row>
    <row r="9" spans="3:11" ht="120" x14ac:dyDescent="0.25">
      <c r="C9" s="1" t="s">
        <v>73</v>
      </c>
      <c r="D9" s="20" t="s">
        <v>55</v>
      </c>
      <c r="E9" s="20" t="s">
        <v>71</v>
      </c>
      <c r="F9" s="20" t="s">
        <v>27</v>
      </c>
      <c r="G9" s="20" t="s">
        <v>28</v>
      </c>
      <c r="H9" s="20" t="s">
        <v>29</v>
      </c>
      <c r="I9" s="19" t="s">
        <v>30</v>
      </c>
      <c r="J9" s="20" t="s">
        <v>25</v>
      </c>
    </row>
    <row r="10" spans="3:11" x14ac:dyDescent="0.25">
      <c r="C10" s="19" t="s">
        <v>74</v>
      </c>
      <c r="D10" s="20" t="s">
        <v>38</v>
      </c>
      <c r="E10" s="19" t="s">
        <v>56</v>
      </c>
      <c r="F10" s="20" t="s">
        <v>57</v>
      </c>
      <c r="G10" s="20" t="s">
        <v>58</v>
      </c>
      <c r="H10" s="20" t="s">
        <v>59</v>
      </c>
      <c r="I10" s="19" t="s">
        <v>60</v>
      </c>
      <c r="J10" s="20" t="s">
        <v>61</v>
      </c>
    </row>
    <row r="11" spans="3:11" x14ac:dyDescent="0.25">
      <c r="C11" s="4">
        <f>5.2*600</f>
        <v>3120</v>
      </c>
      <c r="D11" s="4">
        <f>2167.19+(2167.19*0.06)</f>
        <v>2297.2213999999999</v>
      </c>
      <c r="E11" s="4">
        <v>1493.37</v>
      </c>
      <c r="F11" s="4">
        <f>D11+E11</f>
        <v>3790.5913999999998</v>
      </c>
      <c r="G11" s="4">
        <f>F11-C11</f>
        <v>670.59139999999979</v>
      </c>
      <c r="H11" s="4">
        <f>D11-G11</f>
        <v>1626.63</v>
      </c>
      <c r="I11" s="4">
        <f>0.04*C11</f>
        <v>124.8</v>
      </c>
      <c r="J11" s="7">
        <f>H11-I11</f>
        <v>1501.8300000000002</v>
      </c>
      <c r="K11" s="34"/>
    </row>
    <row r="12" spans="3:11" x14ac:dyDescent="0.25">
      <c r="C12" s="34">
        <f>'4th Unit Soft Cost'!B11</f>
        <v>720</v>
      </c>
      <c r="E12" s="34">
        <f>'4th Unit Soft Cost'!D11</f>
        <v>1681.88</v>
      </c>
    </row>
    <row r="13" spans="3:11" x14ac:dyDescent="0.25">
      <c r="C13" s="34">
        <f>SUM(C11:C12)</f>
        <v>3840</v>
      </c>
      <c r="E13" s="34">
        <f>SUM(E11:E12)</f>
        <v>3175.25</v>
      </c>
    </row>
    <row r="14" spans="3:11" x14ac:dyDescent="0.25">
      <c r="C14" s="34">
        <f>C13/600</f>
        <v>6.4</v>
      </c>
      <c r="E14" s="34">
        <f>E13/600</f>
        <v>5.2920833333333333</v>
      </c>
    </row>
    <row r="16" spans="3:11" ht="30" x14ac:dyDescent="0.25">
      <c r="K16" s="19" t="s">
        <v>32</v>
      </c>
    </row>
    <row r="17" spans="1:19" s="41" customFormat="1" ht="14.25" x14ac:dyDescent="0.2">
      <c r="C17" s="41">
        <f>7*600*3</f>
        <v>12600</v>
      </c>
      <c r="D17" s="39">
        <v>4559.66</v>
      </c>
      <c r="E17" s="42">
        <v>8693.3230000000003</v>
      </c>
      <c r="F17" s="41">
        <f>E17+D17</f>
        <v>13252.983</v>
      </c>
      <c r="G17" s="41">
        <f>F17-C17</f>
        <v>652.98300000000017</v>
      </c>
      <c r="H17" s="41">
        <f>D17-G17</f>
        <v>3906.6769999999997</v>
      </c>
      <c r="I17" s="41">
        <f>C17*0.04</f>
        <v>504</v>
      </c>
      <c r="J17" s="41">
        <f>H17-I17</f>
        <v>3402.6769999999997</v>
      </c>
      <c r="K17" s="41">
        <f>J17*40%</f>
        <v>1361.0708</v>
      </c>
      <c r="L17" s="43">
        <f>K17/D17</f>
        <v>0.29850269537640967</v>
      </c>
    </row>
    <row r="18" spans="1:19" x14ac:dyDescent="0.25">
      <c r="D18" s="44">
        <f>D17/C17</f>
        <v>0.36187777777777774</v>
      </c>
      <c r="K18" s="40">
        <v>1474.2166211827766</v>
      </c>
    </row>
    <row r="19" spans="1:19" x14ac:dyDescent="0.25">
      <c r="D19" s="44">
        <v>0.21299999999999999</v>
      </c>
      <c r="K19" s="36">
        <v>357.31059000000005</v>
      </c>
    </row>
    <row r="20" spans="1:19" x14ac:dyDescent="0.25">
      <c r="D20" s="35">
        <f>D18-D19</f>
        <v>0.14887777777777775</v>
      </c>
      <c r="K20" s="45">
        <v>6306.4648017919417</v>
      </c>
    </row>
    <row r="21" spans="1:19" ht="15.75" thickBot="1" x14ac:dyDescent="0.3">
      <c r="K21" s="46">
        <f>SUM(K17:K20)</f>
        <v>9499.0628129747183</v>
      </c>
    </row>
    <row r="22" spans="1:19" ht="15.75" thickBot="1" x14ac:dyDescent="0.3">
      <c r="Q22" s="48">
        <v>172.58</v>
      </c>
      <c r="S22" s="48">
        <v>172.58</v>
      </c>
    </row>
    <row r="23" spans="1:19" ht="30.75" thickBot="1" x14ac:dyDescent="0.3">
      <c r="B23" s="8" t="s">
        <v>96</v>
      </c>
      <c r="C23" s="8" t="s">
        <v>97</v>
      </c>
      <c r="D23" s="54" t="s">
        <v>98</v>
      </c>
      <c r="K23" s="38"/>
      <c r="Q23" s="50">
        <v>2006.94</v>
      </c>
      <c r="S23" s="50">
        <v>1508.61</v>
      </c>
    </row>
    <row r="24" spans="1:19" ht="45.75" thickBot="1" x14ac:dyDescent="0.3">
      <c r="A24" t="s">
        <v>92</v>
      </c>
      <c r="B24" s="52" t="s">
        <v>73</v>
      </c>
      <c r="C24" s="52" t="s">
        <v>90</v>
      </c>
      <c r="D24" s="53">
        <f>7*600*3</f>
        <v>12600</v>
      </c>
      <c r="Q24" s="51">
        <v>5.63</v>
      </c>
      <c r="S24" s="51" t="s">
        <v>89</v>
      </c>
    </row>
    <row r="25" spans="1:19" ht="30.75" thickBot="1" x14ac:dyDescent="0.3">
      <c r="A25" t="s">
        <v>38</v>
      </c>
      <c r="B25" s="52" t="s">
        <v>55</v>
      </c>
      <c r="C25" s="52" t="s">
        <v>38</v>
      </c>
      <c r="D25" s="53">
        <f>D17</f>
        <v>4559.66</v>
      </c>
      <c r="E25" s="38">
        <f>D24-D26</f>
        <v>3906.6769999999997</v>
      </c>
      <c r="F25" s="38">
        <f>D25-E25</f>
        <v>652.98300000000017</v>
      </c>
      <c r="Q25" s="50">
        <v>13532.03</v>
      </c>
      <c r="S25" s="50">
        <v>10036.030000000001</v>
      </c>
    </row>
    <row r="26" spans="1:19" ht="45.75" thickBot="1" x14ac:dyDescent="0.3">
      <c r="A26" t="s">
        <v>56</v>
      </c>
      <c r="B26" s="52" t="s">
        <v>71</v>
      </c>
      <c r="C26" s="52" t="s">
        <v>56</v>
      </c>
      <c r="D26" s="53">
        <f>E17</f>
        <v>8693.3230000000003</v>
      </c>
      <c r="H26" t="s">
        <v>86</v>
      </c>
      <c r="I26" t="s">
        <v>87</v>
      </c>
      <c r="Q26" s="51">
        <v>323.24</v>
      </c>
      <c r="S26" s="51">
        <v>246.34</v>
      </c>
    </row>
    <row r="27" spans="1:19" ht="45.75" thickBot="1" x14ac:dyDescent="0.3">
      <c r="A27" t="s">
        <v>93</v>
      </c>
      <c r="B27" s="52" t="s">
        <v>91</v>
      </c>
      <c r="C27" s="52" t="s">
        <v>57</v>
      </c>
      <c r="D27" s="53">
        <f>D26+D25</f>
        <v>13252.983</v>
      </c>
      <c r="F27" t="s">
        <v>80</v>
      </c>
      <c r="G27" s="36">
        <v>434.15</v>
      </c>
      <c r="H27" s="36">
        <f>I27</f>
        <v>357.31059000000005</v>
      </c>
      <c r="I27" s="36">
        <f>K19</f>
        <v>357.31059000000005</v>
      </c>
      <c r="Q27" s="51">
        <v>3.74</v>
      </c>
      <c r="S27" s="51">
        <v>0.66</v>
      </c>
    </row>
    <row r="28" spans="1:19" ht="15.75" thickBot="1" x14ac:dyDescent="0.3">
      <c r="A28" t="s">
        <v>94</v>
      </c>
      <c r="B28" s="52" t="s">
        <v>28</v>
      </c>
      <c r="C28" s="52" t="s">
        <v>58</v>
      </c>
      <c r="D28" s="53">
        <f>D27-D24</f>
        <v>652.98300000000017</v>
      </c>
      <c r="F28" t="s">
        <v>81</v>
      </c>
      <c r="G28" s="36">
        <v>1173.29</v>
      </c>
      <c r="H28" s="36">
        <v>2241.3080638930201</v>
      </c>
      <c r="I28" s="36">
        <f>K18</f>
        <v>1474.2166211827766</v>
      </c>
      <c r="J28" s="36" t="s">
        <v>88</v>
      </c>
      <c r="Q28" s="51">
        <v>1.71</v>
      </c>
      <c r="S28" s="51">
        <v>0.54</v>
      </c>
    </row>
    <row r="29" spans="1:19" ht="30.75" thickBot="1" x14ac:dyDescent="0.3">
      <c r="A29" t="s">
        <v>53</v>
      </c>
      <c r="B29" s="52" t="s">
        <v>29</v>
      </c>
      <c r="C29" s="52" t="s">
        <v>59</v>
      </c>
      <c r="D29" s="53">
        <f>D25-D28</f>
        <v>3906.6769999999997</v>
      </c>
      <c r="F29" t="s">
        <v>82</v>
      </c>
      <c r="G29" s="36">
        <f>H44</f>
        <v>8863.89</v>
      </c>
      <c r="H29" s="36">
        <v>16711.390799140856</v>
      </c>
      <c r="I29" s="36">
        <v>6492.4287734330564</v>
      </c>
      <c r="J29" s="36">
        <v>13988.3478260869</v>
      </c>
      <c r="Q29" s="51">
        <v>5.87</v>
      </c>
      <c r="S29" s="51">
        <v>0.13</v>
      </c>
    </row>
    <row r="30" spans="1:19" ht="15.75" thickBot="1" x14ac:dyDescent="0.3">
      <c r="A30" t="s">
        <v>95</v>
      </c>
      <c r="B30" s="8" t="s">
        <v>99</v>
      </c>
      <c r="C30" s="8"/>
      <c r="D30" s="57">
        <v>1428.89592767202</v>
      </c>
      <c r="F30" t="s">
        <v>83</v>
      </c>
      <c r="G30" s="36">
        <f>SUM(G39:G42)</f>
        <v>2358.88</v>
      </c>
      <c r="H30" s="36">
        <f>I30</f>
        <v>1361.0708</v>
      </c>
      <c r="I30" s="36">
        <f>K17</f>
        <v>1361.0708</v>
      </c>
      <c r="Q30" s="51">
        <v>1.23</v>
      </c>
      <c r="S30" s="51">
        <v>0.27</v>
      </c>
    </row>
    <row r="31" spans="1:19" ht="15.75" thickBot="1" x14ac:dyDescent="0.3">
      <c r="B31" s="52" t="s">
        <v>32</v>
      </c>
      <c r="C31" s="52" t="s">
        <v>101</v>
      </c>
      <c r="D31" s="55">
        <f>D29*0.5</f>
        <v>1953.3384999999998</v>
      </c>
      <c r="G31" s="47">
        <f>SUM(G27:G30)</f>
        <v>12830.21</v>
      </c>
      <c r="H31" s="47">
        <f t="shared" ref="H31:I31" si="0">SUM(H27:H30)</f>
        <v>20671.080253033877</v>
      </c>
      <c r="I31" s="47">
        <f t="shared" si="0"/>
        <v>9685.0267846158331</v>
      </c>
      <c r="Q31" s="51">
        <v>0.02</v>
      </c>
      <c r="S31" s="51" t="s">
        <v>89</v>
      </c>
    </row>
    <row r="32" spans="1:19" ht="15.75" thickBot="1" x14ac:dyDescent="0.3">
      <c r="D32" s="38">
        <f>D29-D31-D30</f>
        <v>524.44257232797986</v>
      </c>
      <c r="H32" s="38"/>
      <c r="Q32" s="50">
        <v>4559.66</v>
      </c>
      <c r="S32" s="49">
        <f>Q32</f>
        <v>4559.66</v>
      </c>
    </row>
    <row r="33" spans="4:19" x14ac:dyDescent="0.25">
      <c r="G33" s="38">
        <f>G29/1800</f>
        <v>4.9243833333333331</v>
      </c>
      <c r="H33" s="38">
        <f>H29/1800</f>
        <v>9.2841059995226978</v>
      </c>
      <c r="I33" s="38">
        <f>I29/1800</f>
        <v>3.606904874129476</v>
      </c>
      <c r="J33" s="38">
        <f>J29/1800</f>
        <v>7.7713043478260557</v>
      </c>
      <c r="S33">
        <f>SUM(S22:S32)</f>
        <v>16524.82</v>
      </c>
    </row>
    <row r="35" spans="4:19" x14ac:dyDescent="0.25">
      <c r="D35">
        <v>602</v>
      </c>
    </row>
    <row r="36" spans="4:19" x14ac:dyDescent="0.25">
      <c r="D36" s="56" t="s">
        <v>100</v>
      </c>
    </row>
    <row r="37" spans="4:19" x14ac:dyDescent="0.25">
      <c r="F37" t="s">
        <v>84</v>
      </c>
      <c r="G37">
        <v>434.15</v>
      </c>
    </row>
    <row r="38" spans="4:19" x14ac:dyDescent="0.25">
      <c r="F38" t="s">
        <v>85</v>
      </c>
      <c r="G38">
        <v>1173.29</v>
      </c>
    </row>
    <row r="39" spans="4:19" x14ac:dyDescent="0.25">
      <c r="F39" t="s">
        <v>83</v>
      </c>
      <c r="G39">
        <v>1559.48</v>
      </c>
    </row>
    <row r="40" spans="4:19" x14ac:dyDescent="0.25">
      <c r="F40" t="s">
        <v>83</v>
      </c>
      <c r="G40">
        <v>377.6</v>
      </c>
    </row>
    <row r="41" spans="4:19" x14ac:dyDescent="0.25">
      <c r="F41" t="s">
        <v>83</v>
      </c>
      <c r="G41">
        <v>236.4</v>
      </c>
    </row>
    <row r="42" spans="4:19" x14ac:dyDescent="0.25">
      <c r="F42" t="s">
        <v>83</v>
      </c>
      <c r="G42">
        <v>185.4</v>
      </c>
    </row>
    <row r="43" spans="4:19" x14ac:dyDescent="0.25">
      <c r="G43">
        <f>SUM(G37:G42)</f>
        <v>3966.32</v>
      </c>
    </row>
    <row r="44" spans="4:19" x14ac:dyDescent="0.25">
      <c r="G44">
        <v>12830.21</v>
      </c>
      <c r="H44">
        <f>G44-G43</f>
        <v>8863.89</v>
      </c>
    </row>
    <row r="45" spans="4:19" x14ac:dyDescent="0.25">
      <c r="H45">
        <v>8210.530403586281</v>
      </c>
      <c r="I45">
        <f>H44-H45</f>
        <v>653.35959641371846</v>
      </c>
    </row>
  </sheetData>
  <mergeCells count="1">
    <mergeCell ref="C8:J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7:J16"/>
  <sheetViews>
    <sheetView workbookViewId="0">
      <selection activeCell="D11" sqref="D11"/>
    </sheetView>
  </sheetViews>
  <sheetFormatPr defaultRowHeight="15" x14ac:dyDescent="0.25"/>
  <cols>
    <col min="3" max="3" width="24.85546875" customWidth="1"/>
    <col min="4" max="4" width="21.7109375" customWidth="1"/>
    <col min="5" max="5" width="20" customWidth="1"/>
    <col min="6" max="6" width="20.28515625" customWidth="1"/>
    <col min="7" max="8" width="24.5703125" customWidth="1"/>
    <col min="9" max="10" width="10.28515625" bestFit="1" customWidth="1"/>
  </cols>
  <sheetData>
    <row r="7" spans="3:10" x14ac:dyDescent="0.25">
      <c r="C7" s="8"/>
      <c r="D7" s="8"/>
      <c r="E7" s="8"/>
      <c r="F7" s="8"/>
      <c r="G7" s="88" t="s">
        <v>2</v>
      </c>
      <c r="H7" s="88"/>
    </row>
    <row r="8" spans="3:10" ht="31.9" customHeight="1" x14ac:dyDescent="0.25">
      <c r="C8" s="89" t="s">
        <v>42</v>
      </c>
      <c r="D8" s="89"/>
      <c r="E8" s="89"/>
      <c r="F8" s="89"/>
      <c r="G8" s="89"/>
      <c r="H8" s="89"/>
    </row>
    <row r="9" spans="3:10" ht="91.9" customHeight="1" x14ac:dyDescent="0.25">
      <c r="C9" s="18" t="s">
        <v>36</v>
      </c>
      <c r="D9" s="18" t="s">
        <v>78</v>
      </c>
      <c r="E9" s="18" t="s">
        <v>30</v>
      </c>
      <c r="F9" s="18" t="s">
        <v>31</v>
      </c>
      <c r="G9" s="18" t="s">
        <v>32</v>
      </c>
      <c r="H9" s="18" t="s">
        <v>43</v>
      </c>
    </row>
    <row r="10" spans="3:10" ht="20.45" customHeight="1" x14ac:dyDescent="0.25">
      <c r="C10" s="18" t="s">
        <v>37</v>
      </c>
      <c r="D10" s="18" t="s">
        <v>38</v>
      </c>
      <c r="E10" s="18" t="s">
        <v>39</v>
      </c>
      <c r="F10" s="18" t="s">
        <v>40</v>
      </c>
      <c r="G10" s="18" t="s">
        <v>75</v>
      </c>
      <c r="H10" s="18" t="s">
        <v>41</v>
      </c>
    </row>
    <row r="11" spans="3:10" ht="24.6" customHeight="1" x14ac:dyDescent="0.25">
      <c r="C11" s="4">
        <v>3780</v>
      </c>
      <c r="D11" s="4">
        <v>522</v>
      </c>
      <c r="E11" s="4">
        <f>C11*0.04</f>
        <v>151.20000000000002</v>
      </c>
      <c r="F11" s="4">
        <f>D11-E11</f>
        <v>370.79999999999995</v>
      </c>
      <c r="G11" s="17">
        <f>F11*0.5</f>
        <v>185.39999999999998</v>
      </c>
      <c r="H11" s="7">
        <f>F11-G11</f>
        <v>185.39999999999998</v>
      </c>
    </row>
    <row r="16" spans="3:10" x14ac:dyDescent="0.25">
      <c r="I16" s="21"/>
      <c r="J16" s="21"/>
    </row>
  </sheetData>
  <mergeCells count="2">
    <mergeCell ref="G7:H7"/>
    <mergeCell ref="C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7:J16"/>
  <sheetViews>
    <sheetView workbookViewId="0">
      <selection activeCell="D11" sqref="D11"/>
    </sheetView>
  </sheetViews>
  <sheetFormatPr defaultRowHeight="15" x14ac:dyDescent="0.25"/>
  <cols>
    <col min="3" max="3" width="24.85546875" customWidth="1"/>
    <col min="4" max="4" width="21.7109375" customWidth="1"/>
    <col min="5" max="5" width="20" customWidth="1"/>
    <col min="6" max="6" width="20.28515625" customWidth="1"/>
    <col min="7" max="8" width="24.5703125" customWidth="1"/>
    <col min="9" max="10" width="10.28515625" bestFit="1" customWidth="1"/>
  </cols>
  <sheetData>
    <row r="7" spans="3:10" x14ac:dyDescent="0.25">
      <c r="C7" s="8"/>
      <c r="D7" s="8"/>
      <c r="E7" s="8"/>
      <c r="F7" s="8"/>
      <c r="G7" s="88" t="s">
        <v>2</v>
      </c>
      <c r="H7" s="88"/>
    </row>
    <row r="8" spans="3:10" ht="31.9" customHeight="1" x14ac:dyDescent="0.25">
      <c r="C8" s="89" t="s">
        <v>79</v>
      </c>
      <c r="D8" s="89"/>
      <c r="E8" s="89"/>
      <c r="F8" s="89"/>
      <c r="G8" s="89"/>
      <c r="H8" s="89"/>
    </row>
    <row r="9" spans="3:10" ht="91.9" customHeight="1" x14ac:dyDescent="0.25">
      <c r="C9" s="19" t="s">
        <v>36</v>
      </c>
      <c r="D9" s="19" t="s">
        <v>78</v>
      </c>
      <c r="E9" s="19" t="s">
        <v>30</v>
      </c>
      <c r="F9" s="19" t="s">
        <v>31</v>
      </c>
      <c r="G9" s="19" t="s">
        <v>32</v>
      </c>
      <c r="H9" s="19" t="s">
        <v>43</v>
      </c>
    </row>
    <row r="10" spans="3:10" ht="20.45" customHeight="1" x14ac:dyDescent="0.25">
      <c r="C10" s="19" t="s">
        <v>37</v>
      </c>
      <c r="D10" s="19" t="s">
        <v>38</v>
      </c>
      <c r="E10" s="19" t="s">
        <v>39</v>
      </c>
      <c r="F10" s="19" t="s">
        <v>40</v>
      </c>
      <c r="G10" s="19" t="s">
        <v>75</v>
      </c>
      <c r="H10" s="19" t="s">
        <v>41</v>
      </c>
    </row>
    <row r="11" spans="3:10" ht="24.6" customHeight="1" x14ac:dyDescent="0.25">
      <c r="C11" s="4">
        <v>3780</v>
      </c>
      <c r="D11" s="4">
        <v>624</v>
      </c>
      <c r="E11" s="4">
        <f>C11*0.04</f>
        <v>151.20000000000002</v>
      </c>
      <c r="F11" s="4">
        <f>D11-E11</f>
        <v>472.79999999999995</v>
      </c>
      <c r="G11" s="17">
        <f>F11*0.5</f>
        <v>236.39999999999998</v>
      </c>
      <c r="H11" s="7">
        <f>F11-G11</f>
        <v>236.39999999999998</v>
      </c>
    </row>
    <row r="12" spans="3:10" x14ac:dyDescent="0.25">
      <c r="H12" s="34">
        <f>'6th Unit Capex'!H11</f>
        <v>185.39999999999998</v>
      </c>
    </row>
    <row r="13" spans="3:10" x14ac:dyDescent="0.25">
      <c r="H13" s="34">
        <f>'4th Unit Capital Cost'!J11</f>
        <v>1501.8300000000002</v>
      </c>
    </row>
    <row r="14" spans="3:10" x14ac:dyDescent="0.25">
      <c r="H14" s="34">
        <f>'4th Unit Soft Cost'!H11</f>
        <v>377.60214926470587</v>
      </c>
    </row>
    <row r="15" spans="3:10" x14ac:dyDescent="0.25">
      <c r="H15" s="34">
        <f>SUM(H11:H14)</f>
        <v>2301.2321492647061</v>
      </c>
    </row>
    <row r="16" spans="3:10" x14ac:dyDescent="0.25">
      <c r="I16" s="21"/>
      <c r="J16" s="21"/>
    </row>
  </sheetData>
  <mergeCells count="2">
    <mergeCell ref="G7:H7"/>
    <mergeCell ref="C8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H29"/>
  <sheetViews>
    <sheetView topLeftCell="A6" workbookViewId="0">
      <selection activeCell="D24" sqref="D24"/>
    </sheetView>
  </sheetViews>
  <sheetFormatPr defaultRowHeight="15" x14ac:dyDescent="0.25"/>
  <cols>
    <col min="6" max="6" width="27.85546875" style="10" customWidth="1"/>
    <col min="7" max="7" width="13.7109375" style="13" customWidth="1"/>
    <col min="8" max="8" width="19.7109375" style="13" customWidth="1"/>
  </cols>
  <sheetData>
    <row r="7" spans="6:8" ht="27.6" customHeight="1" x14ac:dyDescent="0.25">
      <c r="F7" s="90" t="s">
        <v>34</v>
      </c>
      <c r="G7" s="90"/>
      <c r="H7" s="90"/>
    </row>
    <row r="8" spans="6:8" x14ac:dyDescent="0.25">
      <c r="F8" s="91" t="s">
        <v>2</v>
      </c>
      <c r="G8" s="91"/>
      <c r="H8" s="91"/>
    </row>
    <row r="9" spans="6:8" x14ac:dyDescent="0.25">
      <c r="F9" s="1" t="s">
        <v>23</v>
      </c>
      <c r="G9" s="3" t="s">
        <v>3</v>
      </c>
      <c r="H9" s="3" t="s">
        <v>4</v>
      </c>
    </row>
    <row r="10" spans="6:8" x14ac:dyDescent="0.25">
      <c r="F10" s="9" t="s">
        <v>5</v>
      </c>
      <c r="G10" s="12">
        <v>0</v>
      </c>
      <c r="H10" s="12">
        <v>0</v>
      </c>
    </row>
    <row r="11" spans="6:8" x14ac:dyDescent="0.25">
      <c r="F11" s="9" t="s">
        <v>6</v>
      </c>
      <c r="G11" s="12"/>
      <c r="H11" s="12"/>
    </row>
    <row r="12" spans="6:8" x14ac:dyDescent="0.25">
      <c r="F12" s="9" t="s">
        <v>7</v>
      </c>
      <c r="G12" s="12">
        <v>124</v>
      </c>
      <c r="H12" s="12">
        <v>124</v>
      </c>
    </row>
    <row r="13" spans="6:8" x14ac:dyDescent="0.25">
      <c r="F13" s="9" t="s">
        <v>8</v>
      </c>
      <c r="G13" s="12">
        <v>1</v>
      </c>
      <c r="H13" s="12">
        <v>1</v>
      </c>
    </row>
    <row r="14" spans="6:8" x14ac:dyDescent="0.25">
      <c r="F14" s="9" t="s">
        <v>9</v>
      </c>
      <c r="G14" s="12">
        <v>0</v>
      </c>
      <c r="H14" s="12">
        <v>0</v>
      </c>
    </row>
    <row r="15" spans="6:8" x14ac:dyDescent="0.25">
      <c r="F15" s="9" t="s">
        <v>10</v>
      </c>
      <c r="G15" s="12">
        <v>22</v>
      </c>
      <c r="H15" s="12">
        <v>22</v>
      </c>
    </row>
    <row r="16" spans="6:8" x14ac:dyDescent="0.25">
      <c r="F16" s="9" t="s">
        <v>11</v>
      </c>
      <c r="G16" s="12">
        <v>38</v>
      </c>
      <c r="H16" s="12">
        <v>38</v>
      </c>
    </row>
    <row r="17" spans="6:8" x14ac:dyDescent="0.25">
      <c r="F17" s="9" t="s">
        <v>12</v>
      </c>
      <c r="G17" s="12">
        <v>263</v>
      </c>
      <c r="H17" s="12">
        <v>263</v>
      </c>
    </row>
    <row r="18" spans="6:8" ht="30" x14ac:dyDescent="0.25">
      <c r="F18" s="9" t="s">
        <v>13</v>
      </c>
      <c r="G18" s="12"/>
      <c r="H18" s="12">
        <v>0</v>
      </c>
    </row>
    <row r="19" spans="6:8" x14ac:dyDescent="0.25">
      <c r="F19" s="9" t="s">
        <v>14</v>
      </c>
      <c r="G19" s="12">
        <v>0</v>
      </c>
      <c r="H19" s="12">
        <v>0</v>
      </c>
    </row>
    <row r="20" spans="6:8" x14ac:dyDescent="0.25">
      <c r="F20" s="9" t="s">
        <v>15</v>
      </c>
      <c r="G20" s="12">
        <v>0</v>
      </c>
      <c r="H20" s="12">
        <v>0</v>
      </c>
    </row>
    <row r="21" spans="6:8" ht="30" x14ac:dyDescent="0.25">
      <c r="F21" s="9" t="s">
        <v>16</v>
      </c>
      <c r="G21" s="12">
        <v>176</v>
      </c>
      <c r="H21" s="12">
        <v>176</v>
      </c>
    </row>
    <row r="22" spans="6:8" x14ac:dyDescent="0.25">
      <c r="F22" s="9" t="s">
        <v>17</v>
      </c>
      <c r="G22" s="12">
        <v>0</v>
      </c>
      <c r="H22" s="12">
        <v>0</v>
      </c>
    </row>
    <row r="23" spans="6:8" x14ac:dyDescent="0.25">
      <c r="F23" s="9" t="s">
        <v>18</v>
      </c>
      <c r="G23" s="12">
        <v>0</v>
      </c>
      <c r="H23" s="12">
        <v>0</v>
      </c>
    </row>
    <row r="24" spans="6:8" x14ac:dyDescent="0.25">
      <c r="F24" s="9" t="s">
        <v>19</v>
      </c>
      <c r="G24" s="12">
        <v>0</v>
      </c>
      <c r="H24" s="12">
        <v>0</v>
      </c>
    </row>
    <row r="25" spans="6:8" x14ac:dyDescent="0.25">
      <c r="F25" s="9" t="s">
        <v>20</v>
      </c>
      <c r="G25" s="12">
        <v>624</v>
      </c>
      <c r="H25" s="12">
        <v>624</v>
      </c>
    </row>
    <row r="26" spans="6:8" x14ac:dyDescent="0.25">
      <c r="F26" s="9" t="s">
        <v>21</v>
      </c>
      <c r="G26" s="12">
        <v>0</v>
      </c>
      <c r="H26" s="12">
        <v>0</v>
      </c>
    </row>
    <row r="27" spans="6:8" x14ac:dyDescent="0.25">
      <c r="F27" s="9" t="s">
        <v>22</v>
      </c>
      <c r="G27" s="12">
        <v>0</v>
      </c>
      <c r="H27" s="12">
        <v>0</v>
      </c>
    </row>
    <row r="28" spans="6:8" x14ac:dyDescent="0.25">
      <c r="F28" s="11" t="s">
        <v>0</v>
      </c>
      <c r="G28" s="3">
        <v>624</v>
      </c>
      <c r="H28" s="3">
        <v>624</v>
      </c>
    </row>
    <row r="29" spans="6:8" ht="30.6" customHeight="1" x14ac:dyDescent="0.25">
      <c r="F29" s="92" t="s">
        <v>35</v>
      </c>
      <c r="G29" s="92"/>
      <c r="H29" s="92"/>
    </row>
  </sheetData>
  <mergeCells count="3">
    <mergeCell ref="F7:H7"/>
    <mergeCell ref="F8:H8"/>
    <mergeCell ref="F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Sheet6</vt:lpstr>
      <vt:lpstr>New Valuation (2)</vt:lpstr>
      <vt:lpstr>New Valuation</vt:lpstr>
      <vt:lpstr>Data By Company-2022</vt:lpstr>
      <vt:lpstr>4th Unit Soft Cost</vt:lpstr>
      <vt:lpstr>4th Unit Capital Cost</vt:lpstr>
      <vt:lpstr>6th Unit Capex</vt:lpstr>
      <vt:lpstr>Sheet2</vt:lpstr>
      <vt:lpstr>Cost incur in 5th Unit</vt:lpstr>
      <vt:lpstr>Cost incur in 6th Unit</vt:lpstr>
      <vt:lpstr>Sheet5</vt:lpstr>
    </vt:vector>
  </TitlesOfParts>
  <Company>KSK Energy Ventures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Tasneem Khorakiwala</dc:creator>
  <cp:lastModifiedBy>Abhishek Sharma</cp:lastModifiedBy>
  <dcterms:created xsi:type="dcterms:W3CDTF">2018-06-12T06:29:50Z</dcterms:created>
  <dcterms:modified xsi:type="dcterms:W3CDTF">2022-11-07T13:47:45Z</dcterms:modified>
</cp:coreProperties>
</file>